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Kalendár" sheetId="1" r:id="rId1"/>
  </sheets>
  <definedNames>
    <definedName name="_xlnm.Print_Area" localSheetId="0">Kalendár!$A$1:$BA$257</definedName>
  </definedNames>
  <calcPr calcId="124519"/>
</workbook>
</file>

<file path=xl/calcChain.xml><?xml version="1.0" encoding="utf-8"?>
<calcChain xmlns="http://schemas.openxmlformats.org/spreadsheetml/2006/main">
  <c r="A2" i="1"/>
  <c r="A7"/>
  <c r="A8" s="1"/>
  <c r="B72" s="1"/>
  <c r="I7"/>
  <c r="J7"/>
  <c r="L7"/>
  <c r="M7"/>
  <c r="K127"/>
  <c r="K121"/>
  <c r="K133"/>
  <c r="U6"/>
  <c r="A47"/>
  <c r="AU122"/>
  <c r="S7"/>
  <c r="M8"/>
  <c r="R8"/>
  <c r="AB8"/>
  <c r="AC8"/>
  <c r="AD8"/>
  <c r="AL8"/>
  <c r="AN8" s="1"/>
  <c r="AM8"/>
  <c r="BF9"/>
  <c r="U10"/>
  <c r="BD10"/>
  <c r="U11"/>
  <c r="BD11"/>
  <c r="T12"/>
  <c r="U12"/>
  <c r="BD14"/>
  <c r="U16"/>
  <c r="U17"/>
  <c r="R18"/>
  <c r="S14" s="1"/>
  <c r="AA27"/>
  <c r="AV27"/>
  <c r="AU31"/>
  <c r="V33"/>
  <c r="AU33"/>
  <c r="AL44"/>
  <c r="AM44"/>
  <c r="AN44"/>
  <c r="AT44"/>
  <c r="AU44"/>
  <c r="AV44"/>
  <c r="C55"/>
  <c r="D55"/>
  <c r="J55"/>
  <c r="K55"/>
  <c r="AN55" s="1"/>
  <c r="L55"/>
  <c r="M55"/>
  <c r="R55"/>
  <c r="V55"/>
  <c r="AC55"/>
  <c r="AL55"/>
  <c r="AM55"/>
  <c r="AT55"/>
  <c r="AW54" s="1"/>
  <c r="S54" s="1"/>
  <c r="AU55"/>
  <c r="AV55"/>
  <c r="A60"/>
  <c r="A66"/>
  <c r="B66" s="1"/>
  <c r="C66" s="1"/>
  <c r="D66" s="1"/>
  <c r="B67"/>
  <c r="C67" s="1"/>
  <c r="D67" s="1"/>
  <c r="J67" s="1"/>
  <c r="AD115"/>
  <c r="AE115"/>
  <c r="AD117"/>
  <c r="AD118"/>
  <c r="AD119"/>
  <c r="AD120"/>
  <c r="AD121"/>
  <c r="AD123"/>
  <c r="AD124"/>
  <c r="AD125"/>
  <c r="AD126"/>
  <c r="AD127"/>
  <c r="AU128"/>
  <c r="AD129"/>
  <c r="AD130"/>
  <c r="AD131"/>
  <c r="AD132"/>
  <c r="AD133"/>
  <c r="AU134"/>
  <c r="AD135"/>
  <c r="AD136"/>
  <c r="AD137"/>
  <c r="AD138"/>
  <c r="K139"/>
  <c r="AD139"/>
  <c r="AD140"/>
  <c r="AU140"/>
  <c r="AD141"/>
  <c r="AD142"/>
  <c r="AD143"/>
  <c r="AD144"/>
  <c r="K145"/>
  <c r="AD145"/>
  <c r="AD146"/>
  <c r="AU146"/>
  <c r="AD147"/>
  <c r="AD148"/>
  <c r="AD149"/>
  <c r="AD150"/>
  <c r="K151"/>
  <c r="AD151"/>
  <c r="AD152"/>
  <c r="AD153"/>
  <c r="AD154"/>
  <c r="AD155"/>
  <c r="AD156"/>
  <c r="AD157"/>
  <c r="S8"/>
  <c r="J5" s="1"/>
  <c r="AS5" s="1"/>
  <c r="BE9"/>
  <c r="R14"/>
  <c r="T123"/>
  <c r="AJ31"/>
  <c r="AU116"/>
  <c r="T117"/>
  <c r="AJ33"/>
  <c r="AA11"/>
  <c r="AA31"/>
  <c r="T141"/>
  <c r="T147"/>
  <c r="AC221"/>
  <c r="AC233"/>
  <c r="AC245"/>
  <c r="AL221"/>
  <c r="AL215"/>
  <c r="K221"/>
  <c r="K215"/>
  <c r="K227"/>
  <c r="K129"/>
  <c r="K117"/>
  <c r="M10"/>
  <c r="M11"/>
  <c r="M16"/>
  <c r="M17"/>
  <c r="K135"/>
  <c r="K141"/>
  <c r="K147"/>
  <c r="AC239"/>
  <c r="AC227"/>
  <c r="AC215"/>
  <c r="AA14"/>
  <c r="AA10"/>
  <c r="AC234"/>
  <c r="AC216"/>
  <c r="AC222"/>
  <c r="AC228"/>
  <c r="AC240"/>
  <c r="AC246"/>
  <c r="AA33"/>
  <c r="AK27"/>
  <c r="AC123"/>
  <c r="AC117"/>
  <c r="AU233"/>
  <c r="AL129"/>
  <c r="AL117"/>
  <c r="AL147"/>
  <c r="AK31"/>
  <c r="AB27"/>
  <c r="T142"/>
  <c r="AC229"/>
  <c r="AC241"/>
  <c r="AC217"/>
  <c r="K118"/>
  <c r="K136"/>
  <c r="R11"/>
  <c r="R17"/>
  <c r="K148"/>
  <c r="K239"/>
  <c r="K233"/>
  <c r="K245"/>
  <c r="T245"/>
  <c r="AL135"/>
  <c r="K123"/>
  <c r="AL227"/>
  <c r="BE14"/>
  <c r="AU147"/>
  <c r="AU129"/>
  <c r="AL233"/>
  <c r="AL245"/>
  <c r="AL239"/>
  <c r="AU215"/>
  <c r="AU245"/>
  <c r="B221"/>
  <c r="B239"/>
  <c r="AU221"/>
  <c r="AL222"/>
  <c r="AL216"/>
  <c r="AL228"/>
  <c r="AL234"/>
  <c r="AL240"/>
  <c r="AL246"/>
  <c r="AU118"/>
  <c r="BF11"/>
  <c r="AU130"/>
  <c r="AU142"/>
  <c r="T233"/>
  <c r="T227"/>
  <c r="T221"/>
  <c r="T239"/>
  <c r="K222"/>
  <c r="K216"/>
  <c r="K228"/>
  <c r="K240"/>
  <c r="K234"/>
  <c r="K246"/>
  <c r="K131"/>
  <c r="S10"/>
  <c r="S16"/>
  <c r="K137"/>
  <c r="K149"/>
  <c r="AC224"/>
  <c r="AC236"/>
  <c r="AB31"/>
  <c r="AV31"/>
  <c r="B245"/>
  <c r="B215"/>
  <c r="B233"/>
  <c r="AK11"/>
  <c r="BE27"/>
  <c r="BE28" s="1"/>
  <c r="AU227"/>
  <c r="AU141"/>
  <c r="BE11"/>
  <c r="AU135"/>
  <c r="BE10"/>
  <c r="AU239"/>
  <c r="AU117"/>
  <c r="T215"/>
  <c r="K142"/>
  <c r="R16"/>
  <c r="R10"/>
  <c r="K130"/>
  <c r="K124"/>
  <c r="AC247"/>
  <c r="AC235"/>
  <c r="AC223"/>
  <c r="T148"/>
  <c r="T124"/>
  <c r="T118"/>
  <c r="AL123"/>
  <c r="AL141"/>
  <c r="B227"/>
  <c r="AU123"/>
  <c r="AU14"/>
  <c r="AB10"/>
  <c r="AB14"/>
  <c r="AN20"/>
  <c r="T6"/>
  <c r="T10"/>
  <c r="T16"/>
  <c r="K144"/>
  <c r="T234"/>
  <c r="K223"/>
  <c r="K229"/>
  <c r="K217"/>
  <c r="K241"/>
  <c r="K247"/>
  <c r="K235"/>
  <c r="AL229"/>
  <c r="AL235"/>
  <c r="AL247"/>
  <c r="AU222"/>
  <c r="AU216"/>
  <c r="AU228"/>
  <c r="AU240"/>
  <c r="AU234"/>
  <c r="BF27"/>
  <c r="BF28" s="1"/>
  <c r="AU246"/>
  <c r="AK10"/>
  <c r="AU10"/>
  <c r="AB11"/>
  <c r="AK14"/>
  <c r="AC248"/>
  <c r="AC230"/>
  <c r="AC218"/>
  <c r="AC242"/>
  <c r="K143"/>
  <c r="S17"/>
  <c r="S11"/>
  <c r="K119"/>
  <c r="K125"/>
  <c r="AU148"/>
  <c r="AU136"/>
  <c r="BF14"/>
  <c r="BF10"/>
  <c r="AU124"/>
  <c r="AK33"/>
  <c r="B216"/>
  <c r="B246"/>
  <c r="AU119"/>
  <c r="BG11"/>
  <c r="AU131"/>
  <c r="AU143"/>
  <c r="T246"/>
  <c r="T216"/>
  <c r="BH6"/>
  <c r="AU120"/>
  <c r="BH10"/>
  <c r="BH11"/>
  <c r="BH14"/>
  <c r="AU132"/>
  <c r="AU138"/>
  <c r="AU144"/>
  <c r="AU150"/>
  <c r="B217"/>
  <c r="B223"/>
  <c r="B229"/>
  <c r="B235"/>
  <c r="B241"/>
  <c r="B247"/>
  <c r="AL218"/>
  <c r="BB20"/>
  <c r="AL242"/>
  <c r="T229"/>
  <c r="AC124"/>
  <c r="AL27"/>
  <c r="AC118"/>
  <c r="AU235"/>
  <c r="AU217"/>
  <c r="AU229"/>
  <c r="K218"/>
  <c r="K236"/>
  <c r="K248"/>
  <c r="AB33"/>
  <c r="AV33"/>
  <c r="AU11"/>
  <c r="K120"/>
  <c r="AU149"/>
  <c r="AU137"/>
  <c r="BG14"/>
  <c r="BG10"/>
  <c r="AU125"/>
  <c r="B234"/>
  <c r="B240"/>
  <c r="B222"/>
  <c r="B228"/>
  <c r="AL241"/>
  <c r="AL217"/>
  <c r="AL223"/>
  <c r="T240"/>
  <c r="T228"/>
  <c r="T222"/>
  <c r="K150"/>
  <c r="T17"/>
  <c r="T11"/>
  <c r="K138"/>
  <c r="K132"/>
  <c r="K126"/>
  <c r="AC243"/>
  <c r="AC219"/>
  <c r="AC231"/>
  <c r="AU126"/>
  <c r="T247"/>
  <c r="T235"/>
  <c r="T20"/>
  <c r="AU218"/>
  <c r="AU230"/>
  <c r="AU236"/>
  <c r="AU242"/>
  <c r="BH27"/>
  <c r="BH28" s="1"/>
  <c r="AU248"/>
  <c r="BB21"/>
  <c r="B135"/>
  <c r="B129"/>
  <c r="C11"/>
  <c r="B141"/>
  <c r="AL118"/>
  <c r="AL136"/>
  <c r="AW27"/>
  <c r="AL148"/>
  <c r="AC27"/>
  <c r="V27"/>
  <c r="AL31"/>
  <c r="B230"/>
  <c r="B224"/>
  <c r="B218"/>
  <c r="B242"/>
  <c r="B248"/>
  <c r="B236"/>
  <c r="BH12"/>
  <c r="AC249"/>
  <c r="AC237"/>
  <c r="AC225"/>
  <c r="K242"/>
  <c r="K230"/>
  <c r="K224"/>
  <c r="AU247"/>
  <c r="BG27"/>
  <c r="BG28" s="1"/>
  <c r="AU241"/>
  <c r="AU223"/>
  <c r="T241"/>
  <c r="T217"/>
  <c r="T223"/>
  <c r="AL248"/>
  <c r="AL236"/>
  <c r="AL230"/>
  <c r="AL224"/>
  <c r="L17"/>
  <c r="K146"/>
  <c r="L6"/>
  <c r="R6" s="1"/>
  <c r="K140"/>
  <c r="L11"/>
  <c r="K116"/>
  <c r="K134"/>
  <c r="L16"/>
  <c r="L10"/>
  <c r="K128"/>
  <c r="K122"/>
  <c r="AU224"/>
  <c r="T248"/>
  <c r="T236"/>
  <c r="T218"/>
  <c r="AD162"/>
  <c r="T242"/>
  <c r="T230"/>
  <c r="T224"/>
  <c r="AL10"/>
  <c r="AL14"/>
  <c r="AL11"/>
  <c r="AW31"/>
  <c r="B118"/>
  <c r="B136"/>
  <c r="D11"/>
  <c r="B142"/>
  <c r="BI12"/>
  <c r="AU121"/>
  <c r="BI11"/>
  <c r="AU133"/>
  <c r="AU145"/>
  <c r="J20"/>
  <c r="BC21"/>
  <c r="BC20"/>
  <c r="AL249"/>
  <c r="AD20"/>
  <c r="AU237"/>
  <c r="AU231"/>
  <c r="AU219"/>
  <c r="AU249"/>
  <c r="K231"/>
  <c r="K243"/>
  <c r="K237"/>
  <c r="AL142"/>
  <c r="AL130"/>
  <c r="AL124"/>
  <c r="B147"/>
  <c r="C14"/>
  <c r="C10"/>
  <c r="B117"/>
  <c r="B123"/>
  <c r="AU243"/>
  <c r="AU225"/>
  <c r="AL237"/>
  <c r="AL231"/>
  <c r="K249"/>
  <c r="K219"/>
  <c r="K225"/>
  <c r="T231"/>
  <c r="AL33"/>
  <c r="AL243"/>
  <c r="AL219"/>
  <c r="AL225"/>
  <c r="AU151"/>
  <c r="AU139"/>
  <c r="BI14"/>
  <c r="BI10"/>
  <c r="AU127"/>
  <c r="B148"/>
  <c r="D14"/>
  <c r="D10"/>
  <c r="B130"/>
  <c r="B124"/>
  <c r="B231"/>
  <c r="B237"/>
  <c r="B243"/>
  <c r="B125"/>
  <c r="B137"/>
  <c r="B119"/>
  <c r="B131"/>
  <c r="I10"/>
  <c r="I11"/>
  <c r="I14"/>
  <c r="B143"/>
  <c r="B149"/>
  <c r="AV11"/>
  <c r="T243"/>
  <c r="T237"/>
  <c r="T249"/>
  <c r="T219"/>
  <c r="T225"/>
  <c r="T122"/>
  <c r="T146"/>
  <c r="AW33"/>
  <c r="AV10"/>
  <c r="AV14"/>
  <c r="B126"/>
  <c r="B120"/>
  <c r="B132"/>
  <c r="B138"/>
  <c r="J10"/>
  <c r="J11"/>
  <c r="J14"/>
  <c r="B144"/>
  <c r="B150"/>
  <c r="AM27"/>
  <c r="B249"/>
  <c r="B225"/>
  <c r="B219"/>
  <c r="T125"/>
  <c r="V10"/>
  <c r="V31"/>
  <c r="T116"/>
  <c r="J12"/>
  <c r="AL137"/>
  <c r="AL131"/>
  <c r="AW11"/>
  <c r="AL143"/>
  <c r="AL238"/>
  <c r="T140"/>
  <c r="AC31"/>
  <c r="T119"/>
  <c r="T149"/>
  <c r="T143"/>
  <c r="V6"/>
  <c r="AL226"/>
  <c r="AL244"/>
  <c r="AL232"/>
  <c r="AL220"/>
  <c r="AL214"/>
  <c r="V11"/>
  <c r="AL120"/>
  <c r="AL138"/>
  <c r="BB11"/>
  <c r="AL144"/>
  <c r="AL150"/>
  <c r="AC11"/>
  <c r="AL149"/>
  <c r="AW14"/>
  <c r="AW10"/>
  <c r="AL119"/>
  <c r="AL125"/>
  <c r="K12"/>
  <c r="B139"/>
  <c r="B133"/>
  <c r="K6"/>
  <c r="B151"/>
  <c r="V14"/>
  <c r="K11"/>
  <c r="B145"/>
  <c r="K14"/>
  <c r="K10"/>
  <c r="B121"/>
  <c r="B127"/>
  <c r="AC119"/>
  <c r="BB14"/>
  <c r="BB10"/>
  <c r="AL132"/>
  <c r="AL126"/>
  <c r="AC33"/>
  <c r="AC10"/>
  <c r="AC14"/>
  <c r="BB12"/>
  <c r="AD27"/>
  <c r="BC12"/>
  <c r="AL139"/>
  <c r="AL121"/>
  <c r="BC11"/>
  <c r="AL145"/>
  <c r="AM31"/>
  <c r="AC125"/>
  <c r="AM14"/>
  <c r="AM11"/>
  <c r="AL151"/>
  <c r="BC14"/>
  <c r="BC10"/>
  <c r="AL133"/>
  <c r="AL127"/>
  <c r="AM33"/>
  <c r="AM10"/>
  <c r="AN27"/>
  <c r="T144"/>
  <c r="AD31"/>
  <c r="T126"/>
  <c r="T120"/>
  <c r="T150"/>
  <c r="AD10"/>
  <c r="AD11"/>
  <c r="AD12"/>
  <c r="AD33"/>
  <c r="AD14"/>
  <c r="AE27"/>
  <c r="AN31"/>
  <c r="AC120"/>
  <c r="AC126"/>
  <c r="AN14"/>
  <c r="AN11"/>
  <c r="AN6"/>
  <c r="AN12"/>
  <c r="AN33"/>
  <c r="AN10"/>
  <c r="AS27"/>
  <c r="AE31"/>
  <c r="T121"/>
  <c r="T127"/>
  <c r="T145"/>
  <c r="T151"/>
  <c r="AE12"/>
  <c r="AE33"/>
  <c r="AE14"/>
  <c r="AE10"/>
  <c r="AE11"/>
  <c r="AE6"/>
  <c r="AS31"/>
  <c r="AC121"/>
  <c r="AC127"/>
  <c r="AS12"/>
  <c r="AS33"/>
  <c r="AS14"/>
  <c r="AS6"/>
  <c r="AS10"/>
  <c r="AS11"/>
  <c r="AB164"/>
  <c r="R164"/>
  <c r="M164"/>
  <c r="AA164"/>
  <c r="AK164"/>
  <c r="AL164"/>
  <c r="AU164"/>
  <c r="AV164"/>
  <c r="BF164"/>
  <c r="BE164"/>
  <c r="K214"/>
  <c r="K238"/>
  <c r="K232"/>
  <c r="K220"/>
  <c r="K244"/>
  <c r="K226"/>
  <c r="M14" l="1"/>
  <c r="AW43"/>
  <c r="AV5"/>
  <c r="AU5" s="1"/>
  <c r="T8" s="1"/>
  <c r="V8" s="1"/>
  <c r="A6"/>
  <c r="S5"/>
  <c r="AT5" s="1"/>
  <c r="L14"/>
  <c r="T14"/>
  <c r="U14"/>
  <c r="AW44"/>
  <c r="AT43" s="1"/>
  <c r="R7"/>
  <c r="T7" s="1"/>
  <c r="U7" s="1"/>
  <c r="AK44"/>
  <c r="AL43" s="1"/>
  <c r="A43" s="1"/>
  <c r="T42"/>
  <c r="AK42" s="1"/>
  <c r="V53" s="1"/>
  <c r="AK53" s="1"/>
  <c r="AW55"/>
  <c r="AT54" s="1"/>
  <c r="AK55" s="1"/>
  <c r="AL54" s="1"/>
  <c r="A54" s="1"/>
  <c r="C8"/>
  <c r="D8" s="1"/>
  <c r="AM214"/>
  <c r="AM226"/>
  <c r="L214"/>
  <c r="U116"/>
  <c r="BD28"/>
  <c r="AC37" s="1"/>
  <c r="A38" s="1"/>
  <c r="M38" s="1"/>
  <c r="AM220"/>
  <c r="L226"/>
  <c r="L220"/>
  <c r="AV122"/>
  <c r="AV116"/>
  <c r="U122"/>
  <c r="L116"/>
  <c r="L128"/>
  <c r="L122"/>
  <c r="A9"/>
  <c r="B10"/>
  <c r="K66"/>
  <c r="J66" s="1"/>
  <c r="J8"/>
  <c r="I8" s="1"/>
  <c r="J9" s="1"/>
  <c r="I9" s="1"/>
  <c r="D9" s="1"/>
  <c r="D7" s="1"/>
  <c r="AA7" s="1"/>
  <c r="AK45" l="1"/>
  <c r="AL45" s="1"/>
  <c r="AL212"/>
  <c r="AL213" s="1"/>
  <c r="K212"/>
  <c r="K213" s="1"/>
  <c r="J251" s="1"/>
  <c r="L38"/>
  <c r="S38" s="1"/>
  <c r="AU114"/>
  <c r="AU115" s="1"/>
  <c r="AT159" s="1"/>
  <c r="K114"/>
  <c r="K115" s="1"/>
  <c r="J159" s="1"/>
  <c r="B122"/>
  <c r="C122" s="1"/>
  <c r="AD122" s="1"/>
  <c r="AM45"/>
  <c r="AU45"/>
  <c r="AK56"/>
  <c r="AK63"/>
  <c r="B146"/>
  <c r="B116"/>
  <c r="C116" s="1"/>
  <c r="AD116" s="1"/>
  <c r="S6"/>
  <c r="B134"/>
  <c r="C134" s="1"/>
  <c r="AD134" s="1"/>
  <c r="B128"/>
  <c r="C128" s="1"/>
  <c r="AD128" s="1"/>
  <c r="B140"/>
  <c r="B6"/>
  <c r="BB7"/>
  <c r="AW7" s="1"/>
  <c r="AV7" s="1"/>
  <c r="AU7" s="1"/>
  <c r="AT7" s="1"/>
  <c r="AS7" s="1"/>
  <c r="AN7" s="1"/>
  <c r="AM7" s="1"/>
  <c r="AL7" s="1"/>
  <c r="AK7" s="1"/>
  <c r="AJ7" s="1"/>
  <c r="AE7" s="1"/>
  <c r="AD7" s="1"/>
  <c r="AC7" s="1"/>
  <c r="AB7" s="1"/>
  <c r="B7" s="1"/>
  <c r="L8" s="1"/>
  <c r="L9" s="1"/>
  <c r="V9" s="1"/>
  <c r="BE7"/>
  <c r="BF7"/>
  <c r="BG7"/>
  <c r="BD7"/>
  <c r="BC7"/>
  <c r="B11"/>
  <c r="B14"/>
  <c r="AK251" l="1"/>
  <c r="T38"/>
  <c r="AK47"/>
  <c r="AK48" s="1"/>
  <c r="AL48" s="1"/>
  <c r="AN45"/>
  <c r="AV45"/>
  <c r="AT45"/>
  <c r="AV46"/>
  <c r="K45" s="1"/>
  <c r="AT46"/>
  <c r="A45" s="1"/>
  <c r="AT63"/>
  <c r="AK65"/>
  <c r="AK66" s="1"/>
  <c r="AM63"/>
  <c r="AU63"/>
  <c r="AV63"/>
  <c r="AN63"/>
  <c r="S65"/>
  <c r="AL63"/>
  <c r="I58" s="1"/>
  <c r="AU46"/>
  <c r="D45" s="1"/>
  <c r="B114"/>
  <c r="AC114"/>
  <c r="AL56"/>
  <c r="AN56"/>
  <c r="AT56"/>
  <c r="A51"/>
  <c r="A58"/>
  <c r="I60" s="1"/>
  <c r="K60" s="1"/>
  <c r="R60" s="1"/>
  <c r="AK58"/>
  <c r="AK59" s="1"/>
  <c r="AL59" s="1"/>
  <c r="AV56"/>
  <c r="AU56"/>
  <c r="AM56"/>
  <c r="AJ8"/>
  <c r="AJ9" s="1"/>
  <c r="B115"/>
  <c r="A159" s="1"/>
  <c r="AC115"/>
  <c r="AB159" s="1"/>
  <c r="AK49" l="1"/>
  <c r="AM48"/>
  <c r="T45" s="1"/>
  <c r="AW46"/>
  <c r="AV47" s="1"/>
  <c r="L45" s="1"/>
  <c r="AL66"/>
  <c r="AK67" s="1"/>
  <c r="AL67" s="1"/>
  <c r="AN66" s="1"/>
  <c r="AA63" s="1"/>
  <c r="AK60"/>
  <c r="AL60" s="1"/>
  <c r="AM59"/>
  <c r="AU57"/>
  <c r="D56" s="1"/>
  <c r="AC25"/>
  <c r="J25"/>
  <c r="C25"/>
  <c r="V25"/>
  <c r="AV64"/>
  <c r="K63" s="1"/>
  <c r="AT64"/>
  <c r="A63" s="1"/>
  <c r="AU47"/>
  <c r="I45" s="1"/>
  <c r="AV57"/>
  <c r="K56" s="1"/>
  <c r="AT57"/>
  <c r="A56" s="1"/>
  <c r="A25" s="1"/>
  <c r="J58"/>
  <c r="AU64"/>
  <c r="D63" s="1"/>
  <c r="AT47"/>
  <c r="B45" s="1"/>
  <c r="AT8"/>
  <c r="AT9" s="1"/>
  <c r="AU6"/>
  <c r="AV6" s="1"/>
  <c r="D25" l="1"/>
  <c r="AL49"/>
  <c r="AM49"/>
  <c r="U45" s="1"/>
  <c r="AU58"/>
  <c r="I56" s="1"/>
  <c r="AW47"/>
  <c r="AV48" s="1"/>
  <c r="M45" s="1"/>
  <c r="AW64"/>
  <c r="AV65" s="1"/>
  <c r="L63" s="1"/>
  <c r="AT65"/>
  <c r="B63" s="1"/>
  <c r="B25" s="1"/>
  <c r="BB25" s="1"/>
  <c r="K25"/>
  <c r="T56"/>
  <c r="AM60"/>
  <c r="U56" s="1"/>
  <c r="AK61"/>
  <c r="AN59"/>
  <c r="AA56" s="1"/>
  <c r="AA25" s="1"/>
  <c r="AM66"/>
  <c r="T63" s="1"/>
  <c r="AU65"/>
  <c r="I63" s="1"/>
  <c r="I25" s="1"/>
  <c r="AK68"/>
  <c r="AS66" s="1"/>
  <c r="AD63" s="1"/>
  <c r="AT58"/>
  <c r="B56" s="1"/>
  <c r="A57" s="1"/>
  <c r="J30" s="1"/>
  <c r="J31" s="1"/>
  <c r="AW57"/>
  <c r="AL72"/>
  <c r="BD8"/>
  <c r="BD9" s="1"/>
  <c r="AJ27"/>
  <c r="AN67"/>
  <c r="AB63" s="1"/>
  <c r="AM67" l="1"/>
  <c r="U63" s="1"/>
  <c r="U25" s="1"/>
  <c r="T25"/>
  <c r="AN48"/>
  <c r="AA45" s="1"/>
  <c r="AK50"/>
  <c r="A64"/>
  <c r="AL36" s="1"/>
  <c r="AN60"/>
  <c r="AB56" s="1"/>
  <c r="AB25" s="1"/>
  <c r="AS67"/>
  <c r="AE63" s="1"/>
  <c r="A26"/>
  <c r="V125" s="1"/>
  <c r="V148"/>
  <c r="AS59"/>
  <c r="AD56" s="1"/>
  <c r="AD25" s="1"/>
  <c r="AV58"/>
  <c r="L56" s="1"/>
  <c r="L25" s="1"/>
  <c r="AL37"/>
  <c r="AL38"/>
  <c r="AW48"/>
  <c r="AV49" s="1"/>
  <c r="R45" s="1"/>
  <c r="AW65"/>
  <c r="B163"/>
  <c r="B164" s="1"/>
  <c r="B162"/>
  <c r="C162" s="1"/>
  <c r="AL122"/>
  <c r="AM122" s="1"/>
  <c r="AU27"/>
  <c r="AL116"/>
  <c r="AM116" s="1"/>
  <c r="AL128"/>
  <c r="AM128" s="1"/>
  <c r="AT10"/>
  <c r="AL140"/>
  <c r="AL146"/>
  <c r="AT14"/>
  <c r="AT11"/>
  <c r="AL134"/>
  <c r="AM134" s="1"/>
  <c r="AS48" l="1"/>
  <c r="AD45" s="1"/>
  <c r="AN49"/>
  <c r="AB45" s="1"/>
  <c r="AE154"/>
  <c r="AE153"/>
  <c r="AE141"/>
  <c r="AE133"/>
  <c r="AE149"/>
  <c r="AE138"/>
  <c r="V151"/>
  <c r="V126"/>
  <c r="V120"/>
  <c r="AL26"/>
  <c r="AS26"/>
  <c r="V124"/>
  <c r="V117"/>
  <c r="AE139"/>
  <c r="V118"/>
  <c r="V156"/>
  <c r="V134"/>
  <c r="AE151"/>
  <c r="V153"/>
  <c r="AE152"/>
  <c r="V131"/>
  <c r="AM26"/>
  <c r="V150"/>
  <c r="AE120"/>
  <c r="AE147"/>
  <c r="AE136"/>
  <c r="V138"/>
  <c r="V140"/>
  <c r="AE148"/>
  <c r="V137"/>
  <c r="V142"/>
  <c r="AE156"/>
  <c r="V132"/>
  <c r="AE142"/>
  <c r="AE121"/>
  <c r="AN26"/>
  <c r="AK26"/>
  <c r="AW58"/>
  <c r="AE140"/>
  <c r="AE125"/>
  <c r="V141"/>
  <c r="AE144"/>
  <c r="V129"/>
  <c r="V133"/>
  <c r="AE131"/>
  <c r="AE127"/>
  <c r="AJ26"/>
  <c r="V123"/>
  <c r="AE129"/>
  <c r="V155"/>
  <c r="AE128"/>
  <c r="AE134"/>
  <c r="AE126"/>
  <c r="V122"/>
  <c r="V119"/>
  <c r="V154"/>
  <c r="AE157"/>
  <c r="V136"/>
  <c r="AE155"/>
  <c r="AE145"/>
  <c r="AE130"/>
  <c r="V149"/>
  <c r="V139"/>
  <c r="AE143"/>
  <c r="AE146"/>
  <c r="AE116"/>
  <c r="V147"/>
  <c r="V127"/>
  <c r="AE119"/>
  <c r="V116"/>
  <c r="AE122"/>
  <c r="AE137"/>
  <c r="AE123"/>
  <c r="AE124"/>
  <c r="V143"/>
  <c r="V146"/>
  <c r="AE150"/>
  <c r="V135"/>
  <c r="V128"/>
  <c r="V130"/>
  <c r="AE132"/>
  <c r="AE135"/>
  <c r="V145"/>
  <c r="V144"/>
  <c r="V152"/>
  <c r="V157"/>
  <c r="AC26"/>
  <c r="AD26"/>
  <c r="AB26"/>
  <c r="AE26"/>
  <c r="AA26"/>
  <c r="V26"/>
  <c r="V121"/>
  <c r="AV59"/>
  <c r="M56" s="1"/>
  <c r="AV66"/>
  <c r="M63" s="1"/>
  <c r="AS60"/>
  <c r="AE56" s="1"/>
  <c r="AE25" s="1"/>
  <c r="L163"/>
  <c r="L164" s="1"/>
  <c r="AL114"/>
  <c r="AS49" l="1"/>
  <c r="AE45" s="1"/>
  <c r="AA117"/>
  <c r="U28" s="1"/>
  <c r="A28" s="1"/>
  <c r="AT26"/>
  <c r="AA120"/>
  <c r="U31" s="1"/>
  <c r="A31" s="1"/>
  <c r="AJ119"/>
  <c r="AT30" s="1"/>
  <c r="BI30" s="1"/>
  <c r="AA118"/>
  <c r="U29" s="1"/>
  <c r="A29" s="1"/>
  <c r="AJ120"/>
  <c r="AT31" s="1"/>
  <c r="BI31" s="1"/>
  <c r="AJ122"/>
  <c r="AT33" s="1"/>
  <c r="BI33" s="1"/>
  <c r="AJ121"/>
  <c r="AT32" s="1"/>
  <c r="BI32" s="1"/>
  <c r="AA116"/>
  <c r="U27" s="1"/>
  <c r="A27" s="1"/>
  <c r="AA122"/>
  <c r="U33" s="1"/>
  <c r="A33" s="1"/>
  <c r="AA119"/>
  <c r="U30" s="1"/>
  <c r="A30" s="1"/>
  <c r="M25"/>
  <c r="T26"/>
  <c r="AJ116"/>
  <c r="AT27" s="1"/>
  <c r="BI27" s="1"/>
  <c r="AA121"/>
  <c r="U32" s="1"/>
  <c r="A32" s="1"/>
  <c r="AW59"/>
  <c r="AV60" s="1"/>
  <c r="R56" s="1"/>
  <c r="AW66"/>
  <c r="AV67" s="1"/>
  <c r="R63" s="1"/>
  <c r="V163"/>
  <c r="V164" s="1"/>
  <c r="T170" s="1"/>
  <c r="AL115"/>
  <c r="AK159" s="1"/>
  <c r="AD114"/>
  <c r="B238"/>
  <c r="B220"/>
  <c r="C220" s="1"/>
  <c r="B30" l="1"/>
  <c r="R25"/>
  <c r="AJ162"/>
  <c r="AK162" s="1"/>
  <c r="AJ163"/>
  <c r="AJ164" s="1"/>
  <c r="AE114"/>
  <c r="AB161" s="1"/>
  <c r="B232"/>
  <c r="C232" s="1"/>
  <c r="B214"/>
  <c r="C214" s="1"/>
  <c r="B244"/>
  <c r="C244" s="1"/>
  <c r="B226"/>
  <c r="C226" s="1"/>
  <c r="B212" l="1"/>
  <c r="B213" s="1"/>
  <c r="A251" s="1"/>
  <c r="AT163"/>
  <c r="AT164" s="1"/>
  <c r="T220"/>
  <c r="U220" s="1"/>
  <c r="T244"/>
  <c r="T214"/>
  <c r="U214" s="1"/>
  <c r="T226"/>
  <c r="U226" s="1"/>
  <c r="T238"/>
  <c r="T232"/>
  <c r="U232" s="1"/>
  <c r="BD163" l="1"/>
  <c r="BD164" s="1"/>
  <c r="AU170" s="1"/>
  <c r="T212"/>
  <c r="AU220" l="1"/>
  <c r="AV220" s="1"/>
  <c r="AU232"/>
  <c r="AV232" s="1"/>
  <c r="AU226"/>
  <c r="AV226" s="1"/>
  <c r="AU238"/>
  <c r="AV238" s="1"/>
  <c r="AU214"/>
  <c r="AV214" s="1"/>
  <c r="AU244"/>
  <c r="T213"/>
  <c r="S251" s="1"/>
  <c r="C212"/>
  <c r="AC214"/>
  <c r="AD214" s="1"/>
  <c r="AC226"/>
  <c r="AC232"/>
  <c r="AC238"/>
  <c r="AC244"/>
  <c r="AC220"/>
  <c r="AD220" s="1"/>
  <c r="AC212" l="1"/>
  <c r="AC213" s="1"/>
  <c r="AB251" s="1"/>
  <c r="D212"/>
  <c r="A253" s="1"/>
  <c r="AU212"/>
  <c r="AD212" l="1"/>
  <c r="AE212" s="1"/>
  <c r="AB253" s="1"/>
  <c r="AU213"/>
  <c r="AT251" l="1"/>
  <c r="AC122"/>
  <c r="AC116"/>
  <c r="AJ14"/>
  <c r="AE118"/>
  <c r="AJ118" s="1"/>
  <c r="AT29" s="1"/>
  <c r="BI29" s="1"/>
  <c r="AE117"/>
  <c r="AJ117" s="1"/>
  <c r="AT28" s="1"/>
  <c r="BI28" s="1"/>
  <c r="AJ10"/>
  <c r="AJ11"/>
  <c r="BI34" l="1"/>
  <c r="BI35" s="1"/>
  <c r="B29" s="1"/>
  <c r="J29" s="1"/>
  <c r="A34" s="1"/>
  <c r="T128" s="1"/>
  <c r="B34" l="1"/>
  <c r="T131"/>
  <c r="T130"/>
  <c r="U128" s="1"/>
  <c r="T132"/>
  <c r="T129"/>
  <c r="A35"/>
  <c r="T134" s="1"/>
  <c r="AC130"/>
  <c r="I34"/>
  <c r="S34" s="1"/>
  <c r="AC131"/>
  <c r="AC133"/>
  <c r="AC128"/>
  <c r="AC132"/>
  <c r="AC129"/>
  <c r="T133"/>
  <c r="AC136"/>
  <c r="AC138"/>
  <c r="AC139"/>
  <c r="AC135"/>
  <c r="AC137"/>
  <c r="AC134"/>
  <c r="T135"/>
  <c r="T136"/>
  <c r="T137"/>
  <c r="B35"/>
  <c r="I35" s="1"/>
  <c r="S35" s="1"/>
  <c r="AC149"/>
  <c r="AC150"/>
  <c r="AM34"/>
  <c r="AK34"/>
  <c r="AN34"/>
  <c r="AL34"/>
  <c r="AE34"/>
  <c r="AD34"/>
  <c r="V34"/>
  <c r="AE35" s="1"/>
  <c r="T35" s="1"/>
  <c r="AC36" s="1"/>
  <c r="AC34"/>
  <c r="AS34"/>
  <c r="AB34"/>
  <c r="AJ34"/>
  <c r="AJ35" s="1"/>
  <c r="AA34"/>
  <c r="AC147" l="1"/>
  <c r="AC148"/>
  <c r="T139"/>
  <c r="U134" s="1"/>
  <c r="T114" s="1"/>
  <c r="AC146"/>
  <c r="AC151"/>
  <c r="T138"/>
  <c r="AC141"/>
  <c r="AC142"/>
  <c r="AC143"/>
  <c r="AC144"/>
  <c r="AC140"/>
  <c r="AC145"/>
  <c r="BC25"/>
  <c r="S12" s="1"/>
  <c r="V35"/>
  <c r="U35"/>
  <c r="A36"/>
  <c r="A37"/>
  <c r="C114" l="1"/>
  <c r="D114" s="1"/>
  <c r="A161" s="1"/>
  <c r="T115"/>
  <c r="A4"/>
  <c r="I36"/>
  <c r="J36"/>
  <c r="L37"/>
  <c r="M37"/>
  <c r="S159" l="1"/>
  <c r="C4"/>
  <c r="A3" s="1"/>
  <c r="L36"/>
  <c r="M36"/>
  <c r="T37"/>
  <c r="S37"/>
</calcChain>
</file>

<file path=xl/sharedStrings.xml><?xml version="1.0" encoding="utf-8"?>
<sst xmlns="http://schemas.openxmlformats.org/spreadsheetml/2006/main" count="638" uniqueCount="60">
  <si>
    <t xml:space="preserve">  pracovných dní a </t>
  </si>
  <si>
    <t xml:space="preserve">  pracovných hodín</t>
  </si>
  <si>
    <t>veľkonočný piatok</t>
  </si>
  <si>
    <t>veľkonočný pondelok</t>
  </si>
  <si>
    <t>Popolec</t>
  </si>
  <si>
    <t>Zoslanie Ducha Sv.</t>
  </si>
  <si>
    <t>1. adventná nedela</t>
  </si>
  <si>
    <t>Počet rokov prirátať, odrátať:</t>
  </si>
  <si>
    <t>jarný deň</t>
  </si>
  <si>
    <t>sekunda</t>
  </si>
  <si>
    <t xml:space="preserve"> /</t>
  </si>
  <si>
    <t>:</t>
  </si>
  <si>
    <t xml:space="preserve"> = A1</t>
  </si>
  <si>
    <t>h</t>
  </si>
  <si>
    <t>mm</t>
  </si>
  <si>
    <t>ss</t>
  </si>
  <si>
    <t>dd</t>
  </si>
  <si>
    <t>rrrr</t>
  </si>
  <si>
    <t>v 19,44</t>
  </si>
  <si>
    <t>z 6,55</t>
  </si>
  <si>
    <t>Počet mesiacov prirátať, odrátať:</t>
  </si>
  <si>
    <t>spln mesiaca</t>
  </si>
  <si>
    <t>cyklus nedelný</t>
  </si>
  <si>
    <t>Týždeň</t>
  </si>
  <si>
    <t>Dátum</t>
  </si>
  <si>
    <t>Deň</t>
  </si>
  <si>
    <t>JANUÁR</t>
  </si>
  <si>
    <t>FEBRUÁR</t>
  </si>
  <si>
    <t>MAREC</t>
  </si>
  <si>
    <t>APRÍL</t>
  </si>
  <si>
    <t>MÁJ</t>
  </si>
  <si>
    <t>JÚN</t>
  </si>
  <si>
    <t>Po</t>
  </si>
  <si>
    <t>Ut</t>
  </si>
  <si>
    <t>St</t>
  </si>
  <si>
    <t>Št</t>
  </si>
  <si>
    <t>Pi</t>
  </si>
  <si>
    <t>So</t>
  </si>
  <si>
    <t>Ne</t>
  </si>
  <si>
    <t xml:space="preserve">I. KVARTÁL - </t>
  </si>
  <si>
    <t xml:space="preserve">  pracovných dní / </t>
  </si>
  <si>
    <t xml:space="preserve"> hodín</t>
  </si>
  <si>
    <t>JÚL</t>
  </si>
  <si>
    <t>AUGUST</t>
  </si>
  <si>
    <t>SEPTEMBER</t>
  </si>
  <si>
    <t>OKTÓBER</t>
  </si>
  <si>
    <t>NOVEMBER</t>
  </si>
  <si>
    <t>DECEMBER</t>
  </si>
  <si>
    <t xml:space="preserve">III. KVARTÁL - </t>
  </si>
  <si>
    <t xml:space="preserve">IV. KVARTÁL - </t>
  </si>
  <si>
    <t>© Pivoluska  1999</t>
  </si>
  <si>
    <t>mailto:mpivo@post.cz</t>
  </si>
  <si>
    <t>mailto:miro.tn@ba.telecom.sk</t>
  </si>
  <si>
    <t>TKO</t>
  </si>
  <si>
    <t>plasty</t>
  </si>
  <si>
    <t>sklo</t>
  </si>
  <si>
    <t>elektro + NO</t>
  </si>
  <si>
    <t>papier</t>
  </si>
  <si>
    <t>kovy</t>
  </si>
  <si>
    <r>
      <t>Plán zberu</t>
    </r>
    <r>
      <rPr>
        <b/>
        <sz val="20"/>
        <rFont val="Arial"/>
        <family val="2"/>
        <charset val="238"/>
      </rPr>
      <t xml:space="preserve"> TKO a </t>
    </r>
    <r>
      <rPr>
        <b/>
        <sz val="20"/>
        <color rgb="FF00B0F0"/>
        <rFont val="Arial"/>
        <family val="2"/>
        <charset val="238"/>
      </rPr>
      <t>S</t>
    </r>
    <r>
      <rPr>
        <b/>
        <sz val="20"/>
        <color rgb="FF00B050"/>
        <rFont val="Arial"/>
        <family val="2"/>
        <charset val="238"/>
      </rPr>
      <t>Z v obci Píla</t>
    </r>
  </si>
</sst>
</file>

<file path=xl/styles.xml><?xml version="1.0" encoding="utf-8"?>
<styleSheet xmlns="http://schemas.openxmlformats.org/spreadsheetml/2006/main">
  <numFmts count="15">
    <numFmt numFmtId="164" formatCode="0.#"/>
    <numFmt numFmtId="165" formatCode="0.0"/>
    <numFmt numFmtId="166" formatCode="#,##0;;"/>
    <numFmt numFmtId="167" formatCode="yyyy"/>
    <numFmt numFmtId="168" formatCode="dd"/>
    <numFmt numFmtId="169" formatCode="d"/>
    <numFmt numFmtId="170" formatCode="mm"/>
    <numFmt numFmtId="171" formatCode="d/m/yyyy\ h:mm:ss"/>
    <numFmt numFmtId="172" formatCode="0.0000000000"/>
    <numFmt numFmtId="173" formatCode="0.00000000"/>
    <numFmt numFmtId="174" formatCode="0.000000000000"/>
    <numFmt numFmtId="175" formatCode="[Color1]#,##0;[Color1]\-#,##0;[Color2]General"/>
    <numFmt numFmtId="176" formatCode="00"/>
    <numFmt numFmtId="177" formatCode="d/\ mmmm"/>
    <numFmt numFmtId="178" formatCode="d/m/yy"/>
  </numFmts>
  <fonts count="43">
    <font>
      <sz val="10"/>
      <name val="Arial CE"/>
      <charset val="238"/>
    </font>
    <font>
      <u/>
      <sz val="10"/>
      <color indexed="12"/>
      <name val="Arial CE"/>
      <charset val="238"/>
    </font>
    <font>
      <b/>
      <sz val="36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36"/>
      <color indexed="17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b/>
      <sz val="36"/>
      <name val="Arial"/>
      <family val="2"/>
      <charset val="238"/>
    </font>
    <font>
      <sz val="36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sz val="13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6"/>
      <name val="Arial"/>
      <family val="2"/>
      <charset val="238"/>
    </font>
    <font>
      <b/>
      <sz val="9"/>
      <name val="Arial"/>
      <family val="2"/>
      <charset val="238"/>
    </font>
    <font>
      <b/>
      <i/>
      <sz val="13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b/>
      <sz val="20"/>
      <color indexed="17"/>
      <name val="Arial"/>
      <family val="2"/>
      <charset val="238"/>
    </font>
    <font>
      <b/>
      <sz val="20"/>
      <name val="Arial"/>
      <family val="2"/>
      <charset val="238"/>
    </font>
    <font>
      <b/>
      <sz val="20"/>
      <color rgb="FF00B0F0"/>
      <name val="Arial"/>
      <family val="2"/>
      <charset val="238"/>
    </font>
    <font>
      <b/>
      <sz val="20"/>
      <color rgb="FF00B05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57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176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176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Continuous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7" fillId="0" borderId="0" xfId="0" applyFont="1" applyBorder="1" applyAlignment="1" applyProtection="1">
      <alignment horizontal="centerContinuous" vertical="center"/>
    </xf>
    <xf numFmtId="0" fontId="6" fillId="0" borderId="0" xfId="0" applyFont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 vertical="center"/>
    </xf>
    <xf numFmtId="0" fontId="9" fillId="2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Continuous" vertical="center"/>
    </xf>
    <xf numFmtId="0" fontId="10" fillId="0" borderId="0" xfId="0" applyFont="1" applyProtection="1"/>
    <xf numFmtId="0" fontId="9" fillId="0" borderId="0" xfId="0" applyFont="1" applyBorder="1" applyAlignment="1" applyProtection="1">
      <alignment horizontal="centerContinuous" vertical="center"/>
    </xf>
    <xf numFmtId="166" fontId="11" fillId="0" borderId="0" xfId="0" applyNumberFormat="1" applyFont="1" applyAlignment="1" applyProtection="1">
      <alignment horizontal="left" vertical="center"/>
    </xf>
    <xf numFmtId="0" fontId="6" fillId="0" borderId="0" xfId="0" applyFont="1" applyAlignment="1" applyProtection="1">
      <alignment horizontal="centerContinuous" vertical="center"/>
    </xf>
    <xf numFmtId="0" fontId="12" fillId="0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166" fontId="6" fillId="0" borderId="0" xfId="0" applyNumberFormat="1" applyFont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166" fontId="14" fillId="0" borderId="0" xfId="0" applyNumberFormat="1" applyFont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center"/>
    </xf>
    <xf numFmtId="14" fontId="16" fillId="0" borderId="0" xfId="0" applyNumberFormat="1" applyFont="1" applyBorder="1" applyAlignment="1" applyProtection="1">
      <alignment horizontal="centerContinuous" vertical="center"/>
    </xf>
    <xf numFmtId="0" fontId="17" fillId="3" borderId="0" xfId="0" applyFont="1" applyFill="1" applyProtection="1"/>
    <xf numFmtId="0" fontId="17" fillId="4" borderId="0" xfId="0" applyFont="1" applyFill="1" applyBorder="1" applyAlignment="1" applyProtection="1">
      <alignment horizontal="center"/>
    </xf>
    <xf numFmtId="164" fontId="6" fillId="5" borderId="0" xfId="0" applyNumberFormat="1" applyFont="1" applyFill="1" applyBorder="1" applyAlignment="1" applyProtection="1">
      <alignment horizontal="left" vertical="center"/>
    </xf>
    <xf numFmtId="0" fontId="6" fillId="5" borderId="0" xfId="0" applyFont="1" applyFill="1" applyBorder="1" applyAlignment="1" applyProtection="1">
      <alignment horizontal="left" vertical="center"/>
    </xf>
    <xf numFmtId="164" fontId="6" fillId="6" borderId="0" xfId="0" applyNumberFormat="1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164" fontId="6" fillId="6" borderId="0" xfId="0" applyNumberFormat="1" applyFont="1" applyFill="1" applyBorder="1" applyAlignment="1" applyProtection="1">
      <alignment vertical="center"/>
    </xf>
    <xf numFmtId="165" fontId="6" fillId="6" borderId="0" xfId="0" applyNumberFormat="1" applyFont="1" applyFill="1" applyBorder="1" applyAlignment="1" applyProtection="1">
      <alignment vertical="center"/>
    </xf>
    <xf numFmtId="1" fontId="6" fillId="6" borderId="0" xfId="0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6" fillId="7" borderId="0" xfId="0" applyFont="1" applyFill="1" applyBorder="1" applyAlignment="1" applyProtection="1">
      <alignment vertical="center"/>
    </xf>
    <xf numFmtId="0" fontId="6" fillId="0" borderId="0" xfId="0" applyFont="1" applyBorder="1" applyProtection="1"/>
    <xf numFmtId="164" fontId="6" fillId="5" borderId="0" xfId="0" applyNumberFormat="1" applyFont="1" applyFill="1" applyAlignment="1" applyProtection="1"/>
    <xf numFmtId="0" fontId="6" fillId="5" borderId="0" xfId="0" applyFont="1" applyFill="1" applyProtection="1"/>
    <xf numFmtId="0" fontId="18" fillId="8" borderId="0" xfId="0" applyFont="1" applyFill="1" applyBorder="1" applyAlignment="1" applyProtection="1">
      <alignment horizontal="center"/>
    </xf>
    <xf numFmtId="0" fontId="18" fillId="4" borderId="0" xfId="0" applyFont="1" applyFill="1" applyBorder="1" applyAlignment="1" applyProtection="1">
      <alignment horizontal="center"/>
    </xf>
    <xf numFmtId="0" fontId="6" fillId="9" borderId="0" xfId="0" applyFont="1" applyFill="1" applyBorder="1" applyAlignment="1" applyProtection="1"/>
    <xf numFmtId="0" fontId="13" fillId="9" borderId="0" xfId="0" applyFont="1" applyFill="1" applyBorder="1" applyAlignment="1" applyProtection="1"/>
    <xf numFmtId="165" fontId="13" fillId="9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Continuous"/>
    </xf>
    <xf numFmtId="1" fontId="14" fillId="9" borderId="0" xfId="0" applyNumberFormat="1" applyFont="1" applyFill="1" applyBorder="1" applyAlignment="1" applyProtection="1"/>
    <xf numFmtId="0" fontId="6" fillId="0" borderId="0" xfId="0" applyFont="1" applyFill="1" applyBorder="1" applyProtection="1"/>
    <xf numFmtId="165" fontId="13" fillId="10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/>
    <xf numFmtId="2" fontId="6" fillId="5" borderId="0" xfId="0" applyNumberFormat="1" applyFont="1" applyFill="1" applyProtection="1"/>
    <xf numFmtId="0" fontId="19" fillId="11" borderId="0" xfId="0" applyFont="1" applyFill="1" applyBorder="1" applyAlignment="1" applyProtection="1">
      <alignment horizontal="center"/>
    </xf>
    <xf numFmtId="0" fontId="6" fillId="9" borderId="0" xfId="0" applyFont="1" applyFill="1" applyProtection="1"/>
    <xf numFmtId="1" fontId="19" fillId="11" borderId="0" xfId="0" applyNumberFormat="1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12" borderId="0" xfId="0" applyFont="1" applyFill="1" applyAlignment="1" applyProtection="1">
      <alignment horizontal="center"/>
    </xf>
    <xf numFmtId="166" fontId="6" fillId="0" borderId="0" xfId="0" applyNumberFormat="1" applyFont="1" applyFill="1" applyProtection="1"/>
    <xf numFmtId="177" fontId="16" fillId="0" borderId="0" xfId="0" applyNumberFormat="1" applyFont="1" applyFill="1" applyAlignment="1" applyProtection="1">
      <alignment horizontal="left"/>
    </xf>
    <xf numFmtId="14" fontId="16" fillId="0" borderId="0" xfId="0" applyNumberFormat="1" applyFont="1" applyFill="1" applyProtection="1"/>
    <xf numFmtId="0" fontId="19" fillId="0" borderId="0" xfId="0" applyFont="1" applyFill="1" applyProtection="1"/>
    <xf numFmtId="0" fontId="20" fillId="0" borderId="0" xfId="0" applyFont="1" applyFill="1" applyAlignment="1" applyProtection="1">
      <alignment horizontal="center"/>
    </xf>
    <xf numFmtId="0" fontId="16" fillId="10" borderId="0" xfId="0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0" xfId="0" applyNumberFormat="1" applyFont="1" applyFill="1" applyAlignment="1" applyProtection="1">
      <alignment horizontal="center"/>
    </xf>
    <xf numFmtId="0" fontId="6" fillId="0" borderId="0" xfId="0" applyFont="1" applyAlignment="1" applyProtection="1"/>
    <xf numFmtId="0" fontId="6" fillId="2" borderId="0" xfId="0" applyFont="1" applyFill="1" applyAlignment="1" applyProtection="1">
      <alignment horizontal="center"/>
    </xf>
    <xf numFmtId="0" fontId="6" fillId="9" borderId="0" xfId="0" applyFont="1" applyFill="1" applyAlignment="1" applyProtection="1">
      <alignment horizontal="center"/>
    </xf>
    <xf numFmtId="166" fontId="6" fillId="13" borderId="0" xfId="0" applyNumberFormat="1" applyFont="1" applyFill="1" applyAlignment="1" applyProtection="1">
      <alignment horizontal="center"/>
    </xf>
    <xf numFmtId="166" fontId="6" fillId="0" borderId="0" xfId="0" applyNumberFormat="1" applyFont="1" applyFill="1" applyBorder="1" applyAlignment="1" applyProtection="1">
      <alignment horizontal="center"/>
    </xf>
    <xf numFmtId="169" fontId="6" fillId="0" borderId="0" xfId="0" applyNumberFormat="1" applyFont="1" applyFill="1" applyAlignment="1" applyProtection="1">
      <alignment horizontal="center"/>
    </xf>
    <xf numFmtId="0" fontId="6" fillId="0" borderId="0" xfId="0" applyFont="1" applyBorder="1" applyAlignment="1" applyProtection="1">
      <alignment horizontal="right"/>
    </xf>
    <xf numFmtId="169" fontId="6" fillId="14" borderId="0" xfId="0" applyNumberFormat="1" applyFont="1" applyFill="1" applyAlignment="1" applyProtection="1">
      <alignment horizontal="center"/>
    </xf>
    <xf numFmtId="0" fontId="6" fillId="5" borderId="0" xfId="0" applyFont="1" applyFill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14" fontId="6" fillId="0" borderId="0" xfId="0" applyNumberFormat="1" applyFont="1" applyBorder="1" applyAlignment="1" applyProtection="1">
      <alignment horizontal="center"/>
    </xf>
    <xf numFmtId="14" fontId="6" fillId="0" borderId="0" xfId="0" applyNumberFormat="1" applyFont="1" applyBorder="1" applyAlignment="1" applyProtection="1">
      <alignment horizontal="left"/>
    </xf>
    <xf numFmtId="0" fontId="6" fillId="15" borderId="0" xfId="0" applyFont="1" applyFill="1" applyAlignment="1" applyProtection="1">
      <alignment horizontal="center"/>
    </xf>
    <xf numFmtId="14" fontId="6" fillId="0" borderId="0" xfId="0" applyNumberFormat="1" applyFont="1" applyProtection="1"/>
    <xf numFmtId="14" fontId="6" fillId="0" borderId="0" xfId="0" applyNumberFormat="1" applyFont="1" applyAlignment="1" applyProtection="1">
      <alignment horizontal="center"/>
    </xf>
    <xf numFmtId="0" fontId="19" fillId="0" borderId="0" xfId="0" applyFont="1" applyProtection="1"/>
    <xf numFmtId="0" fontId="14" fillId="0" borderId="0" xfId="0" applyFont="1" applyProtection="1"/>
    <xf numFmtId="0" fontId="16" fillId="13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168" fontId="6" fillId="0" borderId="0" xfId="0" applyNumberFormat="1" applyFont="1" applyProtection="1"/>
    <xf numFmtId="0" fontId="6" fillId="2" borderId="0" xfId="0" applyFont="1" applyFill="1" applyAlignment="1" applyProtection="1">
      <alignment horizontal="left"/>
    </xf>
    <xf numFmtId="1" fontId="16" fillId="0" borderId="0" xfId="0" applyNumberFormat="1" applyFont="1" applyFill="1" applyBorder="1" applyAlignment="1" applyProtection="1">
      <alignment horizontal="center"/>
    </xf>
    <xf numFmtId="171" fontId="6" fillId="0" borderId="0" xfId="0" applyNumberFormat="1" applyFont="1" applyProtection="1"/>
    <xf numFmtId="172" fontId="6" fillId="2" borderId="0" xfId="0" applyNumberFormat="1" applyFont="1" applyFill="1" applyAlignment="1" applyProtection="1">
      <alignment horizontal="center"/>
    </xf>
    <xf numFmtId="169" fontId="16" fillId="0" borderId="0" xfId="0" applyNumberFormat="1" applyFont="1" applyAlignment="1" applyProtection="1">
      <alignment horizontal="center"/>
    </xf>
    <xf numFmtId="169" fontId="16" fillId="0" borderId="0" xfId="0" applyNumberFormat="1" applyFont="1" applyFill="1" applyBorder="1" applyAlignment="1" applyProtection="1">
      <alignment horizontal="center"/>
    </xf>
    <xf numFmtId="170" fontId="6" fillId="0" borderId="0" xfId="0" applyNumberFormat="1" applyFont="1" applyProtection="1"/>
    <xf numFmtId="167" fontId="6" fillId="0" borderId="0" xfId="0" applyNumberFormat="1" applyFont="1" applyProtection="1"/>
    <xf numFmtId="168" fontId="6" fillId="13" borderId="0" xfId="0" applyNumberFormat="1" applyFont="1" applyFill="1" applyProtection="1"/>
    <xf numFmtId="1" fontId="6" fillId="13" borderId="0" xfId="0" applyNumberFormat="1" applyFont="1" applyFill="1" applyProtection="1"/>
    <xf numFmtId="0" fontId="6" fillId="13" borderId="0" xfId="0" applyFont="1" applyFill="1" applyProtection="1"/>
    <xf numFmtId="1" fontId="6" fillId="0" borderId="0" xfId="0" applyNumberFormat="1" applyFont="1" applyProtection="1"/>
    <xf numFmtId="0" fontId="17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73" fontId="6" fillId="16" borderId="0" xfId="0" applyNumberFormat="1" applyFont="1" applyFill="1" applyProtection="1"/>
    <xf numFmtId="167" fontId="6" fillId="16" borderId="0" xfId="0" applyNumberFormat="1" applyFont="1" applyFill="1" applyAlignment="1" applyProtection="1">
      <alignment horizontal="center"/>
    </xf>
    <xf numFmtId="0" fontId="6" fillId="16" borderId="0" xfId="0" applyFont="1" applyFill="1" applyAlignment="1" applyProtection="1">
      <alignment horizontal="center"/>
    </xf>
    <xf numFmtId="169" fontId="6" fillId="13" borderId="0" xfId="0" applyNumberFormat="1" applyFont="1" applyFill="1" applyProtection="1"/>
    <xf numFmtId="165" fontId="6" fillId="16" borderId="0" xfId="0" applyNumberFormat="1" applyFont="1" applyFill="1" applyProtection="1"/>
    <xf numFmtId="0" fontId="6" fillId="16" borderId="0" xfId="0" applyFont="1" applyFill="1" applyProtection="1"/>
    <xf numFmtId="1" fontId="6" fillId="16" borderId="0" xfId="0" applyNumberFormat="1" applyFont="1" applyFill="1" applyProtection="1"/>
    <xf numFmtId="0" fontId="6" fillId="13" borderId="0" xfId="0" applyFont="1" applyFill="1" applyAlignment="1" applyProtection="1">
      <alignment horizontal="center"/>
    </xf>
    <xf numFmtId="165" fontId="6" fillId="0" borderId="0" xfId="0" applyNumberFormat="1" applyFont="1" applyFill="1" applyAlignment="1" applyProtection="1">
      <alignment horizontal="center"/>
    </xf>
    <xf numFmtId="0" fontId="6" fillId="0" borderId="0" xfId="0" applyFont="1" applyFill="1" applyBorder="1" applyAlignment="1" applyProtection="1"/>
    <xf numFmtId="174" fontId="6" fillId="0" borderId="0" xfId="0" applyNumberFormat="1" applyFont="1" applyProtection="1"/>
    <xf numFmtId="0" fontId="17" fillId="0" borderId="0" xfId="0" applyFont="1" applyFill="1" applyProtection="1"/>
    <xf numFmtId="171" fontId="6" fillId="17" borderId="0" xfId="0" applyNumberFormat="1" applyFont="1" applyFill="1" applyProtection="1"/>
    <xf numFmtId="1" fontId="6" fillId="0" borderId="0" xfId="0" applyNumberFormat="1" applyFont="1" applyAlignment="1" applyProtection="1">
      <alignment horizontal="center"/>
    </xf>
    <xf numFmtId="171" fontId="6" fillId="0" borderId="0" xfId="0" applyNumberFormat="1" applyFont="1" applyAlignment="1" applyProtection="1">
      <alignment horizontal="center"/>
    </xf>
    <xf numFmtId="22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>
      <alignment horizontal="center"/>
    </xf>
    <xf numFmtId="171" fontId="17" fillId="0" borderId="0" xfId="0" applyNumberFormat="1" applyFont="1" applyAlignment="1" applyProtection="1">
      <alignment horizontal="center"/>
    </xf>
    <xf numFmtId="17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Protection="1"/>
    <xf numFmtId="176" fontId="6" fillId="0" borderId="0" xfId="0" applyNumberFormat="1" applyFont="1" applyAlignment="1" applyProtection="1">
      <alignment horizontal="center"/>
    </xf>
    <xf numFmtId="2" fontId="6" fillId="0" borderId="0" xfId="0" applyNumberFormat="1" applyFont="1" applyAlignment="1" applyProtection="1">
      <alignment horizontal="center"/>
    </xf>
    <xf numFmtId="0" fontId="16" fillId="0" borderId="0" xfId="0" applyFont="1" applyProtection="1"/>
    <xf numFmtId="166" fontId="13" fillId="0" borderId="0" xfId="0" applyNumberFormat="1" applyFont="1" applyFill="1" applyBorder="1" applyAlignment="1" applyProtection="1">
      <alignment horizontal="center"/>
    </xf>
    <xf numFmtId="166" fontId="12" fillId="0" borderId="0" xfId="0" applyNumberFormat="1" applyFont="1" applyFill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 textRotation="90"/>
    </xf>
    <xf numFmtId="0" fontId="16" fillId="0" borderId="2" xfId="0" applyFont="1" applyBorder="1" applyAlignment="1" applyProtection="1">
      <alignment horizontal="center" vertical="center" textRotation="90"/>
    </xf>
    <xf numFmtId="0" fontId="19" fillId="0" borderId="0" xfId="0" applyFont="1" applyAlignment="1" applyProtection="1">
      <alignment horizontal="center" vertical="center" textRotation="90"/>
    </xf>
    <xf numFmtId="0" fontId="19" fillId="0" borderId="0" xfId="0" applyFont="1" applyFill="1" applyBorder="1" applyAlignment="1" applyProtection="1">
      <alignment horizontal="center" vertical="center" textRotation="90"/>
    </xf>
    <xf numFmtId="166" fontId="2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66" fontId="24" fillId="18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66" fontId="20" fillId="0" borderId="1" xfId="0" applyNumberFormat="1" applyFont="1" applyFill="1" applyBorder="1" applyAlignment="1" applyProtection="1">
      <alignment horizontal="center" vertical="center"/>
    </xf>
    <xf numFmtId="0" fontId="6" fillId="13" borderId="1" xfId="0" applyFont="1" applyFill="1" applyBorder="1" applyAlignment="1" applyProtection="1">
      <alignment horizontal="center" vertical="center"/>
    </xf>
    <xf numFmtId="166" fontId="25" fillId="20" borderId="1" xfId="0" applyNumberFormat="1" applyFont="1" applyFill="1" applyBorder="1" applyAlignment="1" applyProtection="1">
      <alignment horizontal="center" vertical="center"/>
    </xf>
    <xf numFmtId="0" fontId="26" fillId="20" borderId="1" xfId="0" applyFont="1" applyFill="1" applyBorder="1" applyAlignment="1" applyProtection="1">
      <alignment horizontal="center" vertical="center"/>
    </xf>
    <xf numFmtId="166" fontId="27" fillId="18" borderId="4" xfId="0" applyNumberFormat="1" applyFont="1" applyFill="1" applyBorder="1" applyAlignment="1" applyProtection="1">
      <alignment horizontal="centerContinuous"/>
    </xf>
    <xf numFmtId="166" fontId="6" fillId="0" borderId="0" xfId="0" applyNumberFormat="1" applyFont="1" applyProtection="1"/>
    <xf numFmtId="166" fontId="6" fillId="14" borderId="0" xfId="0" applyNumberFormat="1" applyFont="1" applyFill="1" applyAlignment="1" applyProtection="1">
      <alignment horizontal="center"/>
    </xf>
    <xf numFmtId="166" fontId="6" fillId="9" borderId="0" xfId="0" applyNumberFormat="1" applyFont="1" applyFill="1" applyAlignment="1" applyProtection="1">
      <alignment horizontal="center"/>
    </xf>
    <xf numFmtId="166" fontId="6" fillId="2" borderId="0" xfId="0" applyNumberFormat="1" applyFont="1" applyFill="1" applyAlignment="1" applyProtection="1">
      <alignment horizontal="center"/>
    </xf>
    <xf numFmtId="166" fontId="12" fillId="18" borderId="0" xfId="0" applyNumberFormat="1" applyFont="1" applyFill="1" applyBorder="1" applyAlignment="1" applyProtection="1">
      <alignment horizontal="center"/>
    </xf>
    <xf numFmtId="166" fontId="13" fillId="21" borderId="0" xfId="0" applyNumberFormat="1" applyFont="1" applyFill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/>
    </xf>
    <xf numFmtId="0" fontId="16" fillId="0" borderId="0" xfId="0" applyFont="1" applyFill="1" applyBorder="1" applyProtection="1"/>
    <xf numFmtId="0" fontId="11" fillId="2" borderId="0" xfId="0" applyFont="1" applyFill="1" applyBorder="1" applyAlignment="1" applyProtection="1">
      <alignment horizontal="center"/>
    </xf>
    <xf numFmtId="0" fontId="28" fillId="0" borderId="0" xfId="0" applyFont="1" applyFill="1" applyBorder="1" applyProtection="1"/>
    <xf numFmtId="0" fontId="28" fillId="0" borderId="0" xfId="0" applyFont="1" applyProtection="1"/>
    <xf numFmtId="0" fontId="29" fillId="22" borderId="0" xfId="0" applyFont="1" applyFill="1" applyBorder="1" applyAlignment="1" applyProtection="1">
      <alignment horizontal="center" vertical="center"/>
    </xf>
    <xf numFmtId="166" fontId="12" fillId="18" borderId="0" xfId="0" applyNumberFormat="1" applyFont="1" applyFill="1" applyBorder="1" applyAlignment="1" applyProtection="1">
      <alignment horizontal="centerContinuous"/>
    </xf>
    <xf numFmtId="166" fontId="12" fillId="0" borderId="0" xfId="0" applyNumberFormat="1" applyFont="1" applyFill="1" applyBorder="1" applyAlignment="1" applyProtection="1">
      <alignment horizontal="centerContinuous"/>
    </xf>
    <xf numFmtId="0" fontId="29" fillId="0" borderId="0" xfId="0" applyFont="1" applyProtection="1"/>
    <xf numFmtId="166" fontId="6" fillId="9" borderId="0" xfId="0" applyNumberFormat="1" applyFont="1" applyFill="1" applyBorder="1" applyAlignment="1" applyProtection="1"/>
    <xf numFmtId="166" fontId="13" fillId="18" borderId="0" xfId="0" applyNumberFormat="1" applyFont="1" applyFill="1" applyProtection="1"/>
    <xf numFmtId="166" fontId="13" fillId="0" borderId="0" xfId="0" applyNumberFormat="1" applyFont="1" applyFill="1" applyBorder="1" applyProtection="1"/>
    <xf numFmtId="0" fontId="29" fillId="0" borderId="0" xfId="0" applyFont="1" applyAlignment="1" applyProtection="1">
      <alignment horizontal="center"/>
    </xf>
    <xf numFmtId="166" fontId="19" fillId="11" borderId="0" xfId="0" applyNumberFormat="1" applyFont="1" applyFill="1" applyBorder="1" applyAlignment="1" applyProtection="1">
      <alignment horizontal="center"/>
    </xf>
    <xf numFmtId="166" fontId="6" fillId="9" borderId="0" xfId="0" applyNumberFormat="1" applyFont="1" applyFill="1" applyProtection="1"/>
    <xf numFmtId="166" fontId="13" fillId="18" borderId="0" xfId="0" applyNumberFormat="1" applyFont="1" applyFill="1" applyBorder="1" applyProtection="1"/>
    <xf numFmtId="166" fontId="6" fillId="0" borderId="0" xfId="0" applyNumberFormat="1" applyFont="1" applyFill="1" applyBorder="1" applyProtection="1"/>
    <xf numFmtId="166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166" fontId="2" fillId="0" borderId="0" xfId="0" applyNumberFormat="1" applyFont="1" applyFill="1" applyBorder="1" applyAlignment="1" applyProtection="1"/>
    <xf numFmtId="166" fontId="2" fillId="0" borderId="0" xfId="0" applyNumberFormat="1" applyFont="1" applyFill="1" applyBorder="1" applyAlignment="1" applyProtection="1">
      <alignment horizontal="center"/>
    </xf>
    <xf numFmtId="166" fontId="24" fillId="18" borderId="1" xfId="0" applyNumberFormat="1" applyFont="1" applyFill="1" applyBorder="1" applyAlignment="1" applyProtection="1">
      <alignment horizontal="center"/>
    </xf>
    <xf numFmtId="166" fontId="24" fillId="19" borderId="1" xfId="0" applyNumberFormat="1" applyFont="1" applyFill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 textRotation="90"/>
    </xf>
    <xf numFmtId="0" fontId="6" fillId="15" borderId="1" xfId="0" applyFont="1" applyFill="1" applyBorder="1" applyAlignment="1" applyProtection="1">
      <alignment horizontal="center" vertical="center"/>
    </xf>
    <xf numFmtId="0" fontId="6" fillId="17" borderId="1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66" fontId="31" fillId="18" borderId="0" xfId="0" applyNumberFormat="1" applyFont="1" applyFill="1" applyBorder="1" applyAlignment="1" applyProtection="1">
      <alignment horizontal="center"/>
    </xf>
    <xf numFmtId="0" fontId="32" fillId="0" borderId="0" xfId="0" applyFont="1" applyBorder="1" applyAlignment="1" applyProtection="1">
      <alignment horizontal="left" vertical="center"/>
    </xf>
    <xf numFmtId="177" fontId="16" fillId="0" borderId="0" xfId="0" applyNumberFormat="1" applyFont="1" applyAlignment="1" applyProtection="1">
      <alignment horizontal="left"/>
    </xf>
    <xf numFmtId="14" fontId="16" fillId="0" borderId="0" xfId="0" applyNumberFormat="1" applyFont="1" applyProtection="1"/>
    <xf numFmtId="0" fontId="6" fillId="12" borderId="0" xfId="0" applyFont="1" applyFill="1" applyProtection="1"/>
    <xf numFmtId="0" fontId="6" fillId="12" borderId="0" xfId="0" applyFont="1" applyFill="1" applyAlignment="1" applyProtection="1">
      <alignment horizontal="right"/>
    </xf>
    <xf numFmtId="169" fontId="6" fillId="12" borderId="0" xfId="0" applyNumberFormat="1" applyFont="1" applyFill="1" applyProtection="1"/>
    <xf numFmtId="169" fontId="6" fillId="0" borderId="0" xfId="0" applyNumberFormat="1" applyFont="1" applyProtection="1"/>
    <xf numFmtId="0" fontId="19" fillId="12" borderId="0" xfId="0" applyFont="1" applyFill="1" applyProtection="1"/>
    <xf numFmtId="0" fontId="33" fillId="0" borderId="0" xfId="1" applyFont="1" applyAlignment="1" applyProtection="1"/>
    <xf numFmtId="0" fontId="6" fillId="0" borderId="1" xfId="0" applyFont="1" applyFill="1" applyBorder="1" applyAlignment="1" applyProtection="1">
      <alignment horizontal="center" vertical="center"/>
    </xf>
    <xf numFmtId="0" fontId="6" fillId="24" borderId="1" xfId="0" applyFont="1" applyFill="1" applyBorder="1" applyAlignment="1" applyProtection="1">
      <alignment horizontal="center" vertical="center"/>
    </xf>
    <xf numFmtId="0" fontId="6" fillId="24" borderId="0" xfId="0" applyFont="1" applyFill="1" applyBorder="1" applyAlignment="1" applyProtection="1">
      <alignment horizontal="centerContinuous" vertical="center"/>
    </xf>
    <xf numFmtId="166" fontId="6" fillId="24" borderId="0" xfId="0" applyNumberFormat="1" applyFont="1" applyFill="1" applyAlignment="1" applyProtection="1">
      <alignment horizontal="center"/>
    </xf>
    <xf numFmtId="0" fontId="6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>
      <alignment horizontal="centerContinuous"/>
    </xf>
    <xf numFmtId="0" fontId="6" fillId="24" borderId="0" xfId="0" applyFont="1" applyFill="1" applyProtection="1"/>
    <xf numFmtId="0" fontId="6" fillId="24" borderId="0" xfId="0" applyFont="1" applyFill="1" applyAlignment="1" applyProtection="1">
      <alignment horizontal="center"/>
    </xf>
    <xf numFmtId="0" fontId="6" fillId="24" borderId="0" xfId="0" applyFont="1" applyFill="1" applyBorder="1" applyAlignment="1" applyProtection="1">
      <alignment horizontal="center"/>
    </xf>
    <xf numFmtId="0" fontId="14" fillId="24" borderId="0" xfId="0" applyFont="1" applyFill="1" applyAlignment="1" applyProtection="1">
      <alignment horizontal="left"/>
    </xf>
    <xf numFmtId="0" fontId="6" fillId="24" borderId="0" xfId="0" applyFont="1" applyFill="1" applyAlignment="1" applyProtection="1"/>
    <xf numFmtId="171" fontId="6" fillId="24" borderId="0" xfId="0" applyNumberFormat="1" applyFont="1" applyFill="1" applyAlignment="1" applyProtection="1">
      <alignment horizontal="center"/>
    </xf>
    <xf numFmtId="166" fontId="6" fillId="24" borderId="0" xfId="0" applyNumberFormat="1" applyFont="1" applyFill="1" applyProtection="1"/>
    <xf numFmtId="166" fontId="13" fillId="24" borderId="0" xfId="0" applyNumberFormat="1" applyFont="1" applyFill="1" applyBorder="1" applyAlignment="1" applyProtection="1">
      <alignment horizontal="left"/>
    </xf>
    <xf numFmtId="0" fontId="6" fillId="24" borderId="0" xfId="0" applyFont="1" applyFill="1" applyBorder="1" applyProtection="1"/>
    <xf numFmtId="166" fontId="13" fillId="25" borderId="0" xfId="0" applyNumberFormat="1" applyFont="1" applyFill="1" applyProtection="1"/>
    <xf numFmtId="166" fontId="13" fillId="25" borderId="0" xfId="0" applyNumberFormat="1" applyFont="1" applyFill="1" applyBorder="1" applyProtection="1"/>
    <xf numFmtId="0" fontId="6" fillId="26" borderId="0" xfId="0" applyFont="1" applyFill="1" applyAlignment="1" applyProtection="1">
      <alignment horizontal="right"/>
    </xf>
    <xf numFmtId="0" fontId="34" fillId="24" borderId="0" xfId="0" applyFont="1" applyFill="1" applyAlignment="1" applyProtection="1">
      <alignment horizontal="center"/>
    </xf>
    <xf numFmtId="169" fontId="34" fillId="24" borderId="0" xfId="0" applyNumberFormat="1" applyFont="1" applyFill="1" applyAlignment="1" applyProtection="1">
      <alignment horizontal="center"/>
    </xf>
    <xf numFmtId="0" fontId="35" fillId="24" borderId="0" xfId="0" applyFont="1" applyFill="1" applyBorder="1" applyAlignment="1" applyProtection="1">
      <alignment horizontal="center"/>
    </xf>
    <xf numFmtId="0" fontId="34" fillId="24" borderId="1" xfId="0" applyFont="1" applyFill="1" applyBorder="1" applyAlignment="1" applyProtection="1">
      <alignment horizontal="center" vertical="center" textRotation="90"/>
    </xf>
    <xf numFmtId="166" fontId="35" fillId="25" borderId="0" xfId="0" applyNumberFormat="1" applyFont="1" applyFill="1" applyBorder="1" applyAlignment="1" applyProtection="1">
      <alignment horizontal="centerContinuous"/>
    </xf>
    <xf numFmtId="166" fontId="4" fillId="24" borderId="0" xfId="0" applyNumberFormat="1" applyFont="1" applyFill="1" applyBorder="1" applyAlignment="1" applyProtection="1"/>
    <xf numFmtId="166" fontId="35" fillId="24" borderId="0" xfId="0" applyNumberFormat="1" applyFont="1" applyFill="1" applyBorder="1" applyAlignment="1" applyProtection="1">
      <alignment horizontal="center"/>
    </xf>
    <xf numFmtId="0" fontId="6" fillId="0" borderId="0" xfId="0" applyFont="1" applyAlignment="1" applyProtection="1">
      <alignment vertical="top"/>
    </xf>
    <xf numFmtId="166" fontId="24" fillId="0" borderId="1" xfId="0" applyNumberFormat="1" applyFont="1" applyFill="1" applyBorder="1" applyAlignment="1" applyProtection="1">
      <alignment horizontal="center"/>
    </xf>
    <xf numFmtId="0" fontId="6" fillId="24" borderId="11" xfId="0" applyFont="1" applyFill="1" applyBorder="1" applyAlignment="1" applyProtection="1">
      <alignment horizontal="center" vertical="center"/>
    </xf>
    <xf numFmtId="166" fontId="24" fillId="0" borderId="5" xfId="0" applyNumberFormat="1" applyFont="1" applyFill="1" applyBorder="1" applyAlignment="1" applyProtection="1">
      <alignment horizontal="center" vertical="center"/>
    </xf>
    <xf numFmtId="166" fontId="24" fillId="0" borderId="11" xfId="0" applyNumberFormat="1" applyFont="1" applyFill="1" applyBorder="1" applyAlignment="1" applyProtection="1">
      <alignment horizontal="center" vertical="center"/>
    </xf>
    <xf numFmtId="166" fontId="24" fillId="18" borderId="5" xfId="0" applyNumberFormat="1" applyFont="1" applyFill="1" applyBorder="1" applyAlignment="1" applyProtection="1">
      <alignment horizontal="center" vertical="center"/>
    </xf>
    <xf numFmtId="166" fontId="24" fillId="18" borderId="11" xfId="0" applyNumberFormat="1" applyFont="1" applyFill="1" applyBorder="1" applyAlignment="1" applyProtection="1">
      <alignment horizontal="center" vertical="center"/>
    </xf>
    <xf numFmtId="166" fontId="20" fillId="0" borderId="11" xfId="0" applyNumberFormat="1" applyFont="1" applyFill="1" applyBorder="1" applyAlignment="1" applyProtection="1">
      <alignment horizontal="center" vertical="center"/>
    </xf>
    <xf numFmtId="166" fontId="25" fillId="0" borderId="3" xfId="0" applyNumberFormat="1" applyFont="1" applyFill="1" applyBorder="1" applyAlignment="1" applyProtection="1">
      <alignment horizontal="center" vertical="center"/>
    </xf>
    <xf numFmtId="0" fontId="6" fillId="0" borderId="11" xfId="0" applyFont="1" applyBorder="1" applyProtection="1"/>
    <xf numFmtId="0" fontId="0" fillId="0" borderId="11" xfId="0" applyFill="1" applyBorder="1"/>
    <xf numFmtId="166" fontId="24" fillId="18" borderId="5" xfId="0" applyNumberFormat="1" applyFont="1" applyFill="1" applyBorder="1" applyAlignment="1" applyProtection="1">
      <alignment horizontal="center"/>
    </xf>
    <xf numFmtId="166" fontId="24" fillId="18" borderId="11" xfId="0" applyNumberFormat="1" applyFont="1" applyFill="1" applyBorder="1" applyAlignment="1" applyProtection="1">
      <alignment horizontal="center"/>
    </xf>
    <xf numFmtId="166" fontId="24" fillId="0" borderId="5" xfId="0" applyNumberFormat="1" applyFont="1" applyFill="1" applyBorder="1" applyAlignment="1" applyProtection="1">
      <alignment horizontal="center"/>
    </xf>
    <xf numFmtId="166" fontId="24" fillId="0" borderId="11" xfId="0" applyNumberFormat="1" applyFont="1" applyFill="1" applyBorder="1" applyAlignment="1" applyProtection="1">
      <alignment horizontal="center"/>
    </xf>
    <xf numFmtId="166" fontId="24" fillId="19" borderId="5" xfId="0" applyNumberFormat="1" applyFont="1" applyFill="1" applyBorder="1" applyAlignment="1" applyProtection="1">
      <alignment horizontal="center"/>
    </xf>
    <xf numFmtId="166" fontId="24" fillId="19" borderId="11" xfId="0" applyNumberFormat="1" applyFont="1" applyFill="1" applyBorder="1" applyAlignment="1" applyProtection="1">
      <alignment horizontal="center"/>
    </xf>
    <xf numFmtId="166" fontId="24" fillId="19" borderId="3" xfId="0" applyNumberFormat="1" applyFont="1" applyFill="1" applyBorder="1" applyAlignment="1" applyProtection="1">
      <alignment horizontal="center"/>
    </xf>
    <xf numFmtId="0" fontId="3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66" fontId="24" fillId="27" borderId="1" xfId="0" applyNumberFormat="1" applyFont="1" applyFill="1" applyBorder="1" applyAlignment="1" applyProtection="1">
      <alignment horizontal="center" vertical="center"/>
    </xf>
    <xf numFmtId="0" fontId="6" fillId="28" borderId="0" xfId="0" applyFont="1" applyFill="1" applyProtection="1"/>
    <xf numFmtId="0" fontId="6" fillId="29" borderId="0" xfId="0" applyFont="1" applyFill="1" applyProtection="1"/>
    <xf numFmtId="0" fontId="6" fillId="30" borderId="0" xfId="0" applyFont="1" applyFill="1" applyProtection="1"/>
    <xf numFmtId="0" fontId="6" fillId="31" borderId="0" xfId="0" applyFont="1" applyFill="1" applyProtection="1"/>
    <xf numFmtId="166" fontId="24" fillId="24" borderId="1" xfId="0" applyNumberFormat="1" applyFont="1" applyFill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/>
    </xf>
    <xf numFmtId="166" fontId="41" fillId="18" borderId="1" xfId="0" applyNumberFormat="1" applyFont="1" applyFill="1" applyBorder="1" applyAlignment="1" applyProtection="1">
      <alignment horizontal="center"/>
    </xf>
    <xf numFmtId="0" fontId="42" fillId="0" borderId="1" xfId="0" applyFont="1" applyBorder="1"/>
    <xf numFmtId="0" fontId="42" fillId="27" borderId="1" xfId="0" applyFont="1" applyFill="1" applyBorder="1"/>
    <xf numFmtId="166" fontId="24" fillId="32" borderId="1" xfId="0" applyNumberFormat="1" applyFont="1" applyFill="1" applyBorder="1" applyAlignment="1" applyProtection="1">
      <alignment horizontal="center"/>
    </xf>
    <xf numFmtId="0" fontId="6" fillId="33" borderId="0" xfId="0" applyFont="1" applyFill="1" applyProtection="1"/>
    <xf numFmtId="166" fontId="24" fillId="27" borderId="1" xfId="0" applyNumberFormat="1" applyFont="1" applyFill="1" applyBorder="1" applyAlignment="1" applyProtection="1">
      <alignment horizontal="center"/>
    </xf>
    <xf numFmtId="166" fontId="24" fillId="3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Protection="1"/>
    <xf numFmtId="166" fontId="25" fillId="0" borderId="1" xfId="0" applyNumberFormat="1" applyFont="1" applyFill="1" applyBorder="1" applyAlignment="1" applyProtection="1">
      <alignment horizontal="center" vertical="center"/>
    </xf>
    <xf numFmtId="0" fontId="42" fillId="0" borderId="1" xfId="0" applyFont="1" applyFill="1" applyBorder="1"/>
    <xf numFmtId="0" fontId="6" fillId="27" borderId="0" xfId="0" applyFont="1" applyFill="1" applyProtection="1"/>
    <xf numFmtId="0" fontId="6" fillId="29" borderId="1" xfId="0" applyFont="1" applyFill="1" applyBorder="1" applyAlignment="1" applyProtection="1">
      <alignment horizontal="center" vertical="center"/>
    </xf>
    <xf numFmtId="0" fontId="6" fillId="30" borderId="1" xfId="0" applyFont="1" applyFill="1" applyBorder="1" applyAlignment="1" applyProtection="1">
      <alignment horizontal="center" vertical="center"/>
    </xf>
    <xf numFmtId="0" fontId="6" fillId="34" borderId="1" xfId="0" applyFont="1" applyFill="1" applyBorder="1" applyAlignment="1" applyProtection="1">
      <alignment horizontal="center" vertical="center"/>
    </xf>
    <xf numFmtId="0" fontId="6" fillId="28" borderId="1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</xf>
    <xf numFmtId="0" fontId="9" fillId="2" borderId="6" xfId="0" applyFont="1" applyFill="1" applyBorder="1" applyAlignment="1" applyProtection="1">
      <alignment horizontal="center"/>
    </xf>
    <xf numFmtId="0" fontId="9" fillId="2" borderId="7" xfId="0" applyFont="1" applyFill="1" applyBorder="1" applyAlignment="1" applyProtection="1">
      <alignment horizontal="center"/>
    </xf>
    <xf numFmtId="177" fontId="16" fillId="0" borderId="0" xfId="0" applyNumberFormat="1" applyFont="1" applyFill="1" applyAlignment="1" applyProtection="1">
      <alignment horizontal="left"/>
    </xf>
    <xf numFmtId="0" fontId="6" fillId="0" borderId="0" xfId="0" applyFont="1" applyAlignment="1" applyProtection="1">
      <alignment horizontal="center"/>
    </xf>
    <xf numFmtId="171" fontId="6" fillId="0" borderId="0" xfId="0" applyNumberFormat="1" applyFont="1" applyBorder="1" applyAlignment="1" applyProtection="1">
      <alignment horizontal="center"/>
    </xf>
    <xf numFmtId="22" fontId="6" fillId="0" borderId="0" xfId="0" applyNumberFormat="1" applyFont="1" applyAlignment="1" applyProtection="1">
      <alignment horizontal="center"/>
    </xf>
    <xf numFmtId="171" fontId="17" fillId="0" borderId="0" xfId="0" applyNumberFormat="1" applyFont="1" applyAlignment="1" applyProtection="1">
      <alignment horizontal="center"/>
    </xf>
    <xf numFmtId="165" fontId="6" fillId="14" borderId="0" xfId="0" applyNumberFormat="1" applyFont="1" applyFill="1" applyAlignment="1" applyProtection="1">
      <alignment horizontal="center"/>
    </xf>
    <xf numFmtId="14" fontId="6" fillId="0" borderId="0" xfId="0" applyNumberFormat="1" applyFont="1" applyFill="1" applyAlignment="1" applyProtection="1">
      <alignment horizontal="center"/>
    </xf>
    <xf numFmtId="171" fontId="14" fillId="0" borderId="0" xfId="0" applyNumberFormat="1" applyFont="1" applyAlignment="1" applyProtection="1">
      <alignment horizontal="center"/>
    </xf>
    <xf numFmtId="178" fontId="16" fillId="13" borderId="0" xfId="0" applyNumberFormat="1" applyFont="1" applyFill="1" applyAlignment="1" applyProtection="1">
      <alignment horizontal="center"/>
    </xf>
    <xf numFmtId="14" fontId="6" fillId="0" borderId="0" xfId="0" applyNumberFormat="1" applyFont="1" applyBorder="1" applyAlignment="1" applyProtection="1">
      <alignment horizontal="center"/>
    </xf>
    <xf numFmtId="169" fontId="6" fillId="0" borderId="0" xfId="0" applyNumberFormat="1" applyFont="1" applyFill="1" applyAlignment="1" applyProtection="1">
      <alignment horizontal="center"/>
    </xf>
    <xf numFmtId="176" fontId="37" fillId="0" borderId="0" xfId="0" applyNumberFormat="1" applyFont="1" applyFill="1" applyBorder="1" applyAlignment="1" applyProtection="1">
      <alignment horizontal="center"/>
      <protection locked="0"/>
    </xf>
    <xf numFmtId="0" fontId="6" fillId="23" borderId="0" xfId="0" applyFont="1" applyFill="1" applyAlignment="1" applyProtection="1">
      <alignment horizontal="center"/>
    </xf>
    <xf numFmtId="169" fontId="21" fillId="0" borderId="0" xfId="0" applyNumberFormat="1" applyFont="1" applyFill="1" applyBorder="1" applyAlignment="1" applyProtection="1">
      <alignment horizontal="center"/>
    </xf>
    <xf numFmtId="171" fontId="6" fillId="0" borderId="0" xfId="0" applyNumberFormat="1" applyFont="1" applyAlignment="1" applyProtection="1">
      <alignment horizontal="center"/>
    </xf>
    <xf numFmtId="2" fontId="6" fillId="0" borderId="0" xfId="0" applyNumberFormat="1" applyFont="1" applyAlignment="1" applyProtection="1">
      <alignment horizontal="center"/>
    </xf>
    <xf numFmtId="175" fontId="23" fillId="0" borderId="1" xfId="0" applyNumberFormat="1" applyFont="1" applyBorder="1" applyAlignment="1" applyProtection="1">
      <alignment horizontal="center" vertical="center"/>
    </xf>
    <xf numFmtId="14" fontId="6" fillId="0" borderId="0" xfId="0" applyNumberFormat="1" applyFont="1" applyAlignment="1" applyProtection="1">
      <alignment horizontal="center"/>
    </xf>
    <xf numFmtId="0" fontId="22" fillId="13" borderId="1" xfId="0" applyFont="1" applyFill="1" applyBorder="1" applyAlignment="1" applyProtection="1">
      <alignment horizontal="center" vertical="center"/>
    </xf>
    <xf numFmtId="166" fontId="30" fillId="0" borderId="1" xfId="0" applyNumberFormat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/>
    </xf>
    <xf numFmtId="0" fontId="16" fillId="0" borderId="9" xfId="0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/>
    </xf>
    <xf numFmtId="166" fontId="30" fillId="0" borderId="5" xfId="0" applyNumberFormat="1" applyFont="1" applyFill="1" applyBorder="1" applyAlignment="1" applyProtection="1">
      <alignment horizontal="center" vertical="center"/>
    </xf>
    <xf numFmtId="166" fontId="30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</cellXfs>
  <cellStyles count="2">
    <cellStyle name="Hypertextové prepojenie" xfId="1" builtinId="8"/>
    <cellStyle name="normálne" xfId="0" builtinId="0"/>
  </cellStyles>
  <dxfs count="52"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ill>
        <patternFill patternType="solid">
          <bgColor indexed="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250</xdr:row>
      <xdr:rowOff>0</xdr:rowOff>
    </xdr:from>
    <xdr:to>
      <xdr:col>20</xdr:col>
      <xdr:colOff>95250</xdr:colOff>
      <xdr:row>257</xdr:row>
      <xdr:rowOff>31751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76200" y="23653750"/>
          <a:ext cx="5368925" cy="85725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0" bIns="0" anchor="t" upright="1"/>
        <a:lstStyle/>
        <a:p>
          <a:pPr algn="l" rtl="1">
            <a:defRPr sz="1000"/>
          </a:pPr>
          <a:r>
            <a:rPr lang="sk-SK" sz="1800" b="0" i="0" strike="noStrike">
              <a:solidFill>
                <a:srgbClr val="008000"/>
              </a:solidFill>
              <a:latin typeface="Arial CE"/>
            </a:rPr>
            <a:t>Brantner Gemer s.r.o.       </a:t>
          </a:r>
          <a:r>
            <a:rPr lang="sk-SK" sz="1400" b="0" i="0" strike="noStrike">
              <a:solidFill>
                <a:srgbClr val="000000"/>
              </a:solidFill>
              <a:latin typeface="Arial CE"/>
            </a:rPr>
            <a:t>                                                              </a:t>
          </a:r>
        </a:p>
        <a:p>
          <a:pPr algn="l" rtl="1">
            <a:defRPr sz="1000"/>
          </a:pPr>
          <a:r>
            <a:rPr lang="sk-SK" sz="1600" b="0" i="0" strike="noStrike">
              <a:solidFill>
                <a:srgbClr val="000000"/>
              </a:solidFill>
              <a:latin typeface="Arial CE"/>
            </a:rPr>
            <a:t>Košická cesta 344                                 </a:t>
          </a:r>
        </a:p>
        <a:p>
          <a:pPr algn="l" rtl="1">
            <a:defRPr sz="1000"/>
          </a:pPr>
          <a:r>
            <a:rPr lang="sk-SK" sz="1600" b="0" i="0" strike="noStrike">
              <a:solidFill>
                <a:srgbClr val="000000"/>
              </a:solidFill>
              <a:latin typeface="Arial CE"/>
            </a:rPr>
            <a:t>979 01 Rimavská Sobota </a:t>
          </a:r>
          <a:endParaRPr lang="sk-SK" sz="1400" b="0" i="0" strike="noStrike">
            <a:solidFill>
              <a:srgbClr val="000000"/>
            </a:solidFill>
            <a:latin typeface="Arial CE"/>
          </a:endParaRPr>
        </a:p>
        <a:p>
          <a:pPr algn="l" rtl="1">
            <a:defRPr sz="1000"/>
          </a:pPr>
          <a:endParaRPr lang="sk-SK" sz="14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29</xdr:col>
      <xdr:colOff>15876</xdr:colOff>
      <xdr:row>250</xdr:row>
      <xdr:rowOff>0</xdr:rowOff>
    </xdr:from>
    <xdr:to>
      <xdr:col>52</xdr:col>
      <xdr:colOff>235584</xdr:colOff>
      <xdr:row>257</xdr:row>
      <xdr:rowOff>6902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715251" y="23653750"/>
          <a:ext cx="6283958" cy="8324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6576" rIns="45720" bIns="0" anchor="t" upright="1"/>
        <a:lstStyle/>
        <a:p>
          <a:pPr algn="r" rtl="1">
            <a:defRPr sz="1000"/>
          </a:pPr>
          <a:r>
            <a:rPr lang="sk-SK" sz="1600" b="0" i="0" strike="noStrike">
              <a:solidFill>
                <a:srgbClr val="000000"/>
              </a:solidFill>
              <a:latin typeface="Arial CE"/>
            </a:rPr>
            <a:t>          tel.:  047/563 19 36                                                                         e-mail: brantnergemer@brantner.com</a:t>
          </a:r>
        </a:p>
        <a:p>
          <a:pPr algn="r" rtl="1">
            <a:defRPr sz="1000"/>
          </a:pPr>
          <a:r>
            <a:rPr lang="sk-SK" sz="1600" b="0" i="0" strike="noStrike">
              <a:solidFill>
                <a:srgbClr val="000000"/>
              </a:solidFill>
              <a:latin typeface="Arial CE"/>
            </a:rPr>
            <a:t>http://www.brantnergemer.sk</a:t>
          </a:r>
        </a:p>
      </xdr:txBody>
    </xdr:sp>
    <xdr:clientData/>
  </xdr:twoCellAnchor>
  <xdr:twoCellAnchor editAs="oneCell">
    <xdr:from>
      <xdr:col>36</xdr:col>
      <xdr:colOff>285749</xdr:colOff>
      <xdr:row>0</xdr:row>
      <xdr:rowOff>0</xdr:rowOff>
    </xdr:from>
    <xdr:to>
      <xdr:col>47</xdr:col>
      <xdr:colOff>15875</xdr:colOff>
      <xdr:row>69</xdr:row>
      <xdr:rowOff>79375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63124" y="0"/>
          <a:ext cx="2635251" cy="746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ro.tn@ba.telecom.sk" TargetMode="External"/><Relationship Id="rId1" Type="http://schemas.openxmlformats.org/officeDocument/2006/relationships/hyperlink" Target="mailto:mpivo@post.cz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257"/>
  <sheetViews>
    <sheetView showGridLines="0" tabSelected="1" view="pageLayout" topLeftCell="A73" zoomScale="60" zoomScaleNormal="60" zoomScaleSheetLayoutView="50" zoomScalePageLayoutView="60" workbookViewId="0">
      <selection activeCell="X74" sqref="X74"/>
    </sheetView>
  </sheetViews>
  <sheetFormatPr defaultRowHeight="12.75"/>
  <cols>
    <col min="1" max="1" width="4.42578125" style="9" customWidth="1"/>
    <col min="2" max="2" width="4.140625" style="9" customWidth="1"/>
    <col min="3" max="3" width="4.28515625" style="9" customWidth="1"/>
    <col min="4" max="4" width="5" style="9" customWidth="1"/>
    <col min="5" max="8" width="4.140625" style="9" customWidth="1"/>
    <col min="9" max="9" width="2.28515625" style="9" customWidth="1"/>
    <col min="10" max="10" width="4.5703125" style="9" customWidth="1"/>
    <col min="11" max="11" width="4.140625" style="9" customWidth="1"/>
    <col min="12" max="12" width="4.28515625" style="9" customWidth="1"/>
    <col min="13" max="17" width="4.140625" style="9" customWidth="1"/>
    <col min="18" max="18" width="2.140625" style="9" customWidth="1"/>
    <col min="19" max="19" width="4.42578125" style="9" customWidth="1"/>
    <col min="20" max="20" width="4.140625" style="9" customWidth="1"/>
    <col min="21" max="21" width="4.28515625" style="194" customWidth="1"/>
    <col min="22" max="26" width="4.140625" style="9" customWidth="1"/>
    <col min="27" max="27" width="2.140625" style="50" customWidth="1"/>
    <col min="28" max="28" width="4.5703125" style="9" customWidth="1"/>
    <col min="29" max="29" width="4.140625" style="9" customWidth="1"/>
    <col min="30" max="30" width="4.28515625" style="9" customWidth="1"/>
    <col min="31" max="35" width="4.140625" style="9" customWidth="1"/>
    <col min="36" max="36" width="2.140625" style="9" customWidth="1"/>
    <col min="37" max="37" width="4.42578125" style="9" customWidth="1"/>
    <col min="38" max="38" width="4.140625" style="9" customWidth="1"/>
    <col min="39" max="39" width="4.28515625" style="9" customWidth="1"/>
    <col min="40" max="41" width="4.140625" style="9" customWidth="1"/>
    <col min="42" max="42" width="3.85546875" style="9" customWidth="1"/>
    <col min="43" max="44" width="4.140625" style="9" customWidth="1"/>
    <col min="45" max="45" width="2.140625" style="9" customWidth="1"/>
    <col min="46" max="46" width="4.42578125" style="9" customWidth="1"/>
    <col min="47" max="47" width="4.140625" style="9" customWidth="1"/>
    <col min="48" max="48" width="4.28515625" style="9" customWidth="1"/>
    <col min="49" max="53" width="4.140625" style="9" customWidth="1"/>
    <col min="54" max="61" width="4.28515625" style="9" customWidth="1"/>
    <col min="62" max="62" width="14.42578125" style="9" customWidth="1"/>
    <col min="63" max="16384" width="9.140625" style="9"/>
  </cols>
  <sheetData>
    <row r="1" spans="1:61" s="2" customFormat="1" ht="52.5" customHeight="1">
      <c r="A1" s="255">
        <v>2016</v>
      </c>
      <c r="B1" s="255"/>
      <c r="C1" s="255"/>
      <c r="D1" s="255"/>
      <c r="E1" s="1"/>
      <c r="F1" s="1"/>
      <c r="G1" s="270" t="s">
        <v>59</v>
      </c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3"/>
      <c r="AQ1" s="3"/>
      <c r="AR1" s="3"/>
      <c r="AS1" s="6"/>
      <c r="AT1" s="4"/>
      <c r="AU1" s="4"/>
      <c r="AV1" s="4"/>
      <c r="AW1" s="4"/>
      <c r="AX1" s="3"/>
      <c r="AY1" s="3"/>
      <c r="AZ1" s="3"/>
      <c r="BA1" s="3"/>
      <c r="BB1" s="6"/>
      <c r="BC1" s="6"/>
      <c r="BF1" s="7"/>
      <c r="BG1" s="7"/>
      <c r="BH1" s="7"/>
      <c r="BI1" s="7"/>
    </row>
    <row r="2" spans="1:61" ht="18.75" hidden="1" customHeight="1">
      <c r="A2" s="8" t="str">
        <f>IF(A1&gt;9999,"Rok je mimo rozsah kalendára, musí byť v rozmedzí do 9999 !!!",IF(A1&gt;3999,"Nie je zapracovaný priestupný mesiac od roku 4000 !!! V roku 4000 február má len 28 dní !!! ",""))</f>
        <v/>
      </c>
      <c r="D2" s="8"/>
      <c r="E2" s="8"/>
      <c r="F2" s="8"/>
      <c r="G2" s="8"/>
      <c r="H2" s="8"/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  <c r="U2" s="190"/>
      <c r="V2" s="11"/>
      <c r="W2" s="11"/>
      <c r="X2" s="11"/>
      <c r="Y2" s="11"/>
      <c r="Z2" s="11"/>
      <c r="AA2" s="12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E2" s="10"/>
      <c r="BF2" s="13"/>
      <c r="BG2" s="13"/>
      <c r="BH2" s="13"/>
      <c r="BI2" s="13"/>
    </row>
    <row r="3" spans="1:61" s="16" customFormat="1" ht="18.75" hidden="1" customHeight="1">
      <c r="A3" s="256" t="str">
        <f>CONCATENATE(A4,B4,C4,D4)</f>
        <v>229  pracovných dní a 1832  pracovných hodín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8"/>
      <c r="AX3" s="14"/>
      <c r="AY3" s="14"/>
      <c r="AZ3" s="14"/>
      <c r="BA3" s="14"/>
      <c r="BB3" s="15"/>
      <c r="BC3" s="15"/>
      <c r="BE3" s="17"/>
      <c r="BF3" s="15"/>
      <c r="BG3" s="15"/>
      <c r="BH3" s="15"/>
      <c r="BI3" s="15"/>
    </row>
    <row r="4" spans="1:61" ht="17.25" hidden="1" customHeight="1">
      <c r="A4" s="18">
        <f>B114+K114+T114+AC114+AL114+AU114+B212+K212+T212+AL212+AU212</f>
        <v>229</v>
      </c>
      <c r="B4" s="9" t="s">
        <v>0</v>
      </c>
      <c r="C4" s="18">
        <f>B115+K115+T115+AC115+AL115+AU115+B213+K213+T213+AL213+AU213</f>
        <v>1832</v>
      </c>
      <c r="D4" s="9" t="s">
        <v>1</v>
      </c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8"/>
      <c r="U4" s="190"/>
      <c r="V4" s="11"/>
      <c r="W4" s="11"/>
      <c r="X4" s="11"/>
      <c r="Y4" s="11"/>
      <c r="Z4" s="11"/>
      <c r="AA4" s="12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E4" s="10"/>
      <c r="BF4" s="13"/>
      <c r="BG4" s="13"/>
      <c r="BH4" s="13"/>
      <c r="BI4" s="13"/>
    </row>
    <row r="5" spans="1:61" ht="18.75" hidden="1" customHeight="1">
      <c r="B5" s="19"/>
      <c r="C5" s="19"/>
      <c r="D5" s="19"/>
      <c r="E5" s="19"/>
      <c r="F5" s="19"/>
      <c r="G5" s="19"/>
      <c r="H5" s="19"/>
      <c r="I5" s="10"/>
      <c r="J5" s="11" t="b">
        <f>OR(S8=0,)</f>
        <v>1</v>
      </c>
      <c r="K5" s="11"/>
      <c r="L5" s="11"/>
      <c r="M5" s="11"/>
      <c r="N5" s="11"/>
      <c r="O5" s="11"/>
      <c r="P5" s="11"/>
      <c r="Q5" s="11"/>
      <c r="R5" s="11"/>
      <c r="S5" s="11" t="b">
        <f>OR(AD8&lt;&gt;0)</f>
        <v>0</v>
      </c>
      <c r="T5" s="11"/>
      <c r="U5" s="190"/>
      <c r="V5" s="11"/>
      <c r="W5" s="11"/>
      <c r="X5" s="11"/>
      <c r="Y5" s="11"/>
      <c r="Z5" s="11"/>
      <c r="AA5" s="12"/>
      <c r="AB5" s="20"/>
      <c r="AC5" s="11"/>
      <c r="AD5" s="11"/>
      <c r="AE5" s="21"/>
      <c r="AF5" s="21"/>
      <c r="AG5" s="21"/>
      <c r="AH5" s="21"/>
      <c r="AI5" s="21"/>
      <c r="AJ5" s="11"/>
      <c r="AK5" s="11"/>
      <c r="AL5" s="11"/>
      <c r="AM5" s="11"/>
      <c r="AN5" s="11"/>
      <c r="AO5" s="11"/>
      <c r="AP5" s="11"/>
      <c r="AQ5" s="11"/>
      <c r="AR5" s="11"/>
      <c r="AS5" s="11">
        <f>IF(J5=TRUE,29,28)</f>
        <v>29</v>
      </c>
      <c r="AT5" s="11">
        <f>IF(S5=FALSE,28,AS5)</f>
        <v>28</v>
      </c>
      <c r="AU5" s="11">
        <f>IF(AV5=TRUE,29,AT5)</f>
        <v>29</v>
      </c>
      <c r="AV5" s="11" t="b">
        <f>AND(AD8=0,AN8=0)</f>
        <v>1</v>
      </c>
      <c r="AW5" s="11"/>
      <c r="AX5" s="11"/>
      <c r="AY5" s="11"/>
      <c r="AZ5" s="11"/>
      <c r="BA5" s="11"/>
      <c r="BB5" s="11"/>
      <c r="BC5" s="11"/>
      <c r="BE5" s="10"/>
      <c r="BF5" s="13"/>
      <c r="BG5" s="13"/>
      <c r="BH5" s="13"/>
      <c r="BI5" s="13"/>
    </row>
    <row r="6" spans="1:61" ht="17.25" hidden="1" customHeight="1">
      <c r="A6" s="9">
        <f>M8-R8</f>
        <v>0</v>
      </c>
      <c r="B6" s="22">
        <f>COUNTIF(B72:B79,"&lt;1")</f>
        <v>1</v>
      </c>
      <c r="C6" s="19"/>
      <c r="D6" s="19"/>
      <c r="E6" s="19"/>
      <c r="F6" s="19"/>
      <c r="G6" s="19"/>
      <c r="H6" s="19"/>
      <c r="I6" s="10"/>
      <c r="J6" s="11"/>
      <c r="K6" s="22">
        <f>COUNTIF(B108:B113,"&gt;1")</f>
        <v>0</v>
      </c>
      <c r="L6" s="22">
        <f>COUNTIF(K72:K79,"&lt;1")</f>
        <v>0</v>
      </c>
      <c r="M6" s="23"/>
      <c r="N6" s="23"/>
      <c r="O6" s="23"/>
      <c r="P6" s="23"/>
      <c r="Q6" s="23"/>
      <c r="R6" s="24">
        <f>IF(L6=7,,M6)</f>
        <v>0</v>
      </c>
      <c r="S6" s="25">
        <f>COUNTIF(B72:B79,"&lt;1")</f>
        <v>1</v>
      </c>
      <c r="T6" s="25">
        <f>COUNTIF(K101:K106,"&lt;1")</f>
        <v>0</v>
      </c>
      <c r="U6" s="191">
        <f>COUNTIF(K107:K113,"&lt;1")</f>
        <v>0</v>
      </c>
      <c r="V6" s="22">
        <f>COUNTIF(T72:T80,"&lt;1")</f>
        <v>0</v>
      </c>
      <c r="W6" s="22"/>
      <c r="X6" s="22"/>
      <c r="Y6" s="22"/>
      <c r="Z6" s="22"/>
      <c r="AA6" s="26"/>
      <c r="AB6" s="11"/>
      <c r="AC6" s="11"/>
      <c r="AD6" s="11"/>
      <c r="AE6" s="22">
        <f>COUNTIF(T107:T113,"&gt;1")</f>
        <v>0</v>
      </c>
      <c r="AF6" s="22"/>
      <c r="AG6" s="22"/>
      <c r="AH6" s="22"/>
      <c r="AI6" s="22"/>
      <c r="AJ6" s="11"/>
      <c r="AK6" s="11"/>
      <c r="AL6" s="23"/>
      <c r="AM6" s="11"/>
      <c r="AN6" s="22">
        <f>COUNTIF(AC102:AC107,"&gt;1")</f>
        <v>4</v>
      </c>
      <c r="AO6" s="22"/>
      <c r="AP6" s="22"/>
      <c r="AQ6" s="22"/>
      <c r="AR6" s="22"/>
      <c r="AS6" s="22">
        <f>COUNTIF(AC108:AC113,"&gt;1")</f>
        <v>0</v>
      </c>
      <c r="AT6" s="11"/>
      <c r="AU6" s="23">
        <f>IF(AJ9&lt;=-3,AU9,AV9)</f>
        <v>0</v>
      </c>
      <c r="AV6" s="23">
        <f>IF(AL74=1,#REF!+1,AU6+1)</f>
        <v>1</v>
      </c>
      <c r="AW6" s="11"/>
      <c r="AX6" s="11"/>
      <c r="AY6" s="11"/>
      <c r="AZ6" s="11"/>
      <c r="BA6" s="11"/>
      <c r="BB6" s="11"/>
      <c r="BC6" s="11"/>
      <c r="BE6" s="10"/>
      <c r="BF6" s="13"/>
      <c r="BG6" s="13"/>
      <c r="BH6" s="22">
        <f>COUNTIF(AU102:AU106,"&gt;1")</f>
        <v>2</v>
      </c>
      <c r="BI6" s="13"/>
    </row>
    <row r="7" spans="1:61" ht="17.25" hidden="1" customHeight="1">
      <c r="A7" s="27">
        <f>DATE(A1,1,1)</f>
        <v>42370</v>
      </c>
      <c r="B7" s="28">
        <f>AB7</f>
        <v>-2</v>
      </c>
      <c r="C7" s="19"/>
      <c r="D7" s="29">
        <f>IF($D$8=0,1,D9)</f>
        <v>1</v>
      </c>
      <c r="E7" s="29"/>
      <c r="F7" s="29"/>
      <c r="G7" s="29"/>
      <c r="H7" s="29"/>
      <c r="I7" s="30">
        <f>A1/7</f>
        <v>288</v>
      </c>
      <c r="J7" s="31">
        <f>ROUNDDOWN(A1/7,0)</f>
        <v>288</v>
      </c>
      <c r="K7" s="11"/>
      <c r="L7" s="32">
        <f>A1/28</f>
        <v>72</v>
      </c>
      <c r="M7" s="33">
        <f>ROUNDDOWN(A1/28,0)</f>
        <v>72</v>
      </c>
      <c r="N7" s="33"/>
      <c r="O7" s="33"/>
      <c r="P7" s="33"/>
      <c r="Q7" s="33"/>
      <c r="R7" s="34">
        <f>L7-M7</f>
        <v>0</v>
      </c>
      <c r="S7" s="35">
        <f>1/28</f>
        <v>3.5714285714285712E-2</v>
      </c>
      <c r="T7" s="36">
        <f>ROUND(R7/S7,0)</f>
        <v>0</v>
      </c>
      <c r="U7" s="192">
        <f>ROUNDUP(T7/4,0)</f>
        <v>0</v>
      </c>
      <c r="V7" s="37"/>
      <c r="W7" s="37"/>
      <c r="X7" s="37"/>
      <c r="Y7" s="37"/>
      <c r="Z7" s="37"/>
      <c r="AA7" s="38">
        <f>IF(S8=0.25,D7-U7+3,D7-U7+4)</f>
        <v>5</v>
      </c>
      <c r="AB7" s="39">
        <f>IF($AA$7&lt;=5,AC7,-1)</f>
        <v>-2</v>
      </c>
      <c r="AC7" s="39">
        <f>IF($AA$7&lt;=4,AD7,-2)</f>
        <v>-2</v>
      </c>
      <c r="AD7" s="39">
        <f>IF($AA$7&lt;=3,AE7,-3)</f>
        <v>-3</v>
      </c>
      <c r="AE7" s="39">
        <f>IF($AA$7&lt;=2,AJ7,-4)</f>
        <v>-4</v>
      </c>
      <c r="AF7" s="39"/>
      <c r="AG7" s="39"/>
      <c r="AH7" s="39"/>
      <c r="AI7" s="39"/>
      <c r="AJ7" s="39">
        <f>IF($AA$7&lt;=1,AK7,1)</f>
        <v>1</v>
      </c>
      <c r="AK7" s="39">
        <f>IF($AA$7&lt;=0,AL7,0)</f>
        <v>0</v>
      </c>
      <c r="AL7" s="39">
        <f>IF($AA$7&lt;=-1,AM7,-1)</f>
        <v>-1</v>
      </c>
      <c r="AM7" s="39">
        <f>IF($AA$7&lt;=-2,AN7,-2)</f>
        <v>-2</v>
      </c>
      <c r="AN7" s="39">
        <f>IF($AA$7&lt;=-3,AS7,-3)</f>
        <v>-3</v>
      </c>
      <c r="AO7" s="39"/>
      <c r="AP7" s="39"/>
      <c r="AQ7" s="39"/>
      <c r="AR7" s="39"/>
      <c r="AS7" s="39">
        <f>IF($AA$7&lt;=-4,AT7,-4)</f>
        <v>-4</v>
      </c>
      <c r="AT7" s="39">
        <f>IF($AA$7&lt;=-5,AU7,-5)</f>
        <v>-5</v>
      </c>
      <c r="AU7" s="39">
        <f>IF($AA$7&lt;=-6,AV7,1)</f>
        <v>1</v>
      </c>
      <c r="AV7" s="39">
        <f>IF($AA$7&lt;=-7,AW7,0)</f>
        <v>0</v>
      </c>
      <c r="AW7" s="39">
        <f>IF($AA$7&lt;=-8,BB7,-1)</f>
        <v>-1</v>
      </c>
      <c r="AX7" s="39"/>
      <c r="AY7" s="39"/>
      <c r="AZ7" s="39"/>
      <c r="BA7" s="39"/>
      <c r="BB7" s="39">
        <f>IF($AA$7&lt;=-9,BC7,-2)</f>
        <v>-2</v>
      </c>
      <c r="BC7" s="39">
        <f>IF($AA$7&lt;=-10,BD7,-3)</f>
        <v>-3</v>
      </c>
      <c r="BD7" s="39">
        <f>IF($AA$7&lt;=-11,BE7,-4)</f>
        <v>-4</v>
      </c>
      <c r="BE7" s="39">
        <f>IF($AA$7&lt;-12,BF7,-5)</f>
        <v>-5</v>
      </c>
      <c r="BF7" s="39">
        <f>IF($AA$7&lt;=-13,BG7,1)</f>
        <v>1</v>
      </c>
      <c r="BG7" s="39">
        <f>IF($AA$7=-14,BH7,0)</f>
        <v>0</v>
      </c>
      <c r="BH7" s="13"/>
      <c r="BI7" s="40"/>
    </row>
    <row r="8" spans="1:61" hidden="1">
      <c r="A8" s="9">
        <f>IF(A1=1900,-6,-WEEKDAY(A7+4))</f>
        <v>-3</v>
      </c>
      <c r="C8" s="41">
        <f>I7-J7</f>
        <v>0</v>
      </c>
      <c r="D8" s="42">
        <f>ROUND(C8/C9,0)</f>
        <v>0</v>
      </c>
      <c r="E8" s="42"/>
      <c r="F8" s="42"/>
      <c r="G8" s="42"/>
      <c r="H8" s="42"/>
      <c r="I8" s="43">
        <f>IF($D$8=4,-3,J8)</f>
        <v>-5</v>
      </c>
      <c r="J8" s="43">
        <f>IF($D$8=5,-4,-5)</f>
        <v>-5</v>
      </c>
      <c r="K8" s="44"/>
      <c r="L8" s="45">
        <f>IF(B7&gt;=-3,3,-4)</f>
        <v>3</v>
      </c>
      <c r="M8" s="46">
        <f>AT1/4</f>
        <v>0</v>
      </c>
      <c r="N8" s="46"/>
      <c r="O8" s="46"/>
      <c r="P8" s="46"/>
      <c r="Q8" s="46"/>
      <c r="R8" s="46">
        <f>ROUNDDOWN(AT1/4,0)</f>
        <v>0</v>
      </c>
      <c r="S8" s="47">
        <f>M8-R8</f>
        <v>0</v>
      </c>
      <c r="T8" s="46">
        <f>AU5</f>
        <v>29</v>
      </c>
      <c r="U8" s="193"/>
      <c r="V8" s="49">
        <f>IF(T8=29,1,0)</f>
        <v>1</v>
      </c>
      <c r="W8" s="49"/>
      <c r="X8" s="49"/>
      <c r="Y8" s="49"/>
      <c r="Z8" s="49"/>
      <c r="AB8" s="46">
        <f>AT1/100</f>
        <v>0</v>
      </c>
      <c r="AC8" s="46">
        <f>ROUNDDOWN(AT1/100,0)</f>
        <v>0</v>
      </c>
      <c r="AD8" s="51">
        <f>AB8-AC8</f>
        <v>0</v>
      </c>
      <c r="AE8" s="52"/>
      <c r="AF8" s="52"/>
      <c r="AG8" s="52"/>
      <c r="AH8" s="52"/>
      <c r="AI8" s="52"/>
      <c r="AJ8" s="45">
        <f>IF(V9&gt;=-3,3,-4)</f>
        <v>-4</v>
      </c>
      <c r="AK8" s="48"/>
      <c r="AL8" s="46">
        <f>AT1/400</f>
        <v>0</v>
      </c>
      <c r="AM8" s="46">
        <f>ROUNDDOWN(AT1/400,0)</f>
        <v>0</v>
      </c>
      <c r="AN8" s="51">
        <f>AL8-AM8</f>
        <v>0</v>
      </c>
      <c r="AO8" s="51"/>
      <c r="AP8" s="51"/>
      <c r="AQ8" s="51"/>
      <c r="AR8" s="51"/>
      <c r="AS8" s="48"/>
      <c r="AT8" s="45">
        <f>IF(AJ9&gt;=-3,2,-5)</f>
        <v>2</v>
      </c>
      <c r="AU8" s="48"/>
      <c r="AV8" s="48"/>
      <c r="AW8" s="48"/>
      <c r="AX8" s="48"/>
      <c r="AY8" s="48"/>
      <c r="AZ8" s="48"/>
      <c r="BA8" s="48"/>
      <c r="BC8" s="48"/>
      <c r="BD8" s="45">
        <f>IF(AT9&gt;=-3,3,-4)</f>
        <v>-4</v>
      </c>
      <c r="BE8" s="52"/>
      <c r="BF8" s="52"/>
      <c r="BI8" s="52"/>
    </row>
    <row r="9" spans="1:61" hidden="1">
      <c r="A9" s="9">
        <f>WEEKDAY(A7,2)</f>
        <v>5</v>
      </c>
      <c r="C9" s="53">
        <v>0.14285714285714285</v>
      </c>
      <c r="D9" s="43">
        <f>IF($D$8=1,0,I9)</f>
        <v>-5</v>
      </c>
      <c r="E9" s="43"/>
      <c r="F9" s="43"/>
      <c r="G9" s="43"/>
      <c r="H9" s="43"/>
      <c r="I9" s="43">
        <f>IF($D$8=2,-1,J9)</f>
        <v>-5</v>
      </c>
      <c r="J9" s="43">
        <f>IF($D$8=3,-2,I8)</f>
        <v>-5</v>
      </c>
      <c r="L9" s="54">
        <f>A8-L8</f>
        <v>-6</v>
      </c>
      <c r="M9" s="55"/>
      <c r="N9" s="55"/>
      <c r="O9" s="55"/>
      <c r="P9" s="55"/>
      <c r="Q9" s="55"/>
      <c r="R9" s="55"/>
      <c r="V9" s="56">
        <f>IF(U6=0,L9-V8,L9-V8)</f>
        <v>-7</v>
      </c>
      <c r="W9" s="56"/>
      <c r="X9" s="56"/>
      <c r="Y9" s="56"/>
      <c r="Z9" s="56"/>
      <c r="AB9" s="55"/>
      <c r="AJ9" s="56">
        <f>V9-AJ8</f>
        <v>-3</v>
      </c>
      <c r="AK9" s="55"/>
      <c r="AL9" s="55"/>
      <c r="AM9" s="40"/>
      <c r="AN9" s="40"/>
      <c r="AO9" s="40"/>
      <c r="AP9" s="40"/>
      <c r="AQ9" s="40"/>
      <c r="AR9" s="40"/>
      <c r="AS9" s="40"/>
      <c r="AT9" s="54">
        <f>AJ9-AT8</f>
        <v>-5</v>
      </c>
      <c r="AU9" s="55"/>
      <c r="AV9" s="55"/>
      <c r="AW9" s="40"/>
      <c r="AX9" s="40"/>
      <c r="AY9" s="40"/>
      <c r="AZ9" s="40"/>
      <c r="BA9" s="40"/>
      <c r="BB9" s="40"/>
      <c r="BC9" s="40"/>
      <c r="BD9" s="54">
        <f>AT9-BD8</f>
        <v>-1</v>
      </c>
      <c r="BE9" s="55" t="e">
        <f>IF(AU81=1,"",#REF!+1)</f>
        <v>#REF!</v>
      </c>
      <c r="BF9" s="55" t="e">
        <f>IF(AU80&gt;=1,#REF!,"")</f>
        <v>#REF!</v>
      </c>
      <c r="BG9" s="40"/>
      <c r="BH9" s="40"/>
      <c r="BI9" s="40"/>
    </row>
    <row r="10" spans="1:61" ht="15" hidden="1" customHeight="1">
      <c r="A10" s="57"/>
      <c r="B10" s="58">
        <f>COUNTBLANK(B72:B79)</f>
        <v>3</v>
      </c>
      <c r="C10" s="58">
        <f>COUNTBLANK(B80:B86)</f>
        <v>0</v>
      </c>
      <c r="D10" s="58">
        <f>COUNTBLANK(B87:B93)</f>
        <v>0</v>
      </c>
      <c r="E10" s="58"/>
      <c r="F10" s="58"/>
      <c r="G10" s="58"/>
      <c r="H10" s="58"/>
      <c r="I10" s="58">
        <f>COUNTBLANK(B94:B100)</f>
        <v>0</v>
      </c>
      <c r="J10" s="58">
        <f>COUNTBLANK(B101:B107)</f>
        <v>1</v>
      </c>
      <c r="K10" s="58">
        <f>COUNTBLANK(B108:B113)</f>
        <v>6</v>
      </c>
      <c r="L10" s="58">
        <f>COUNTBLANK(K72:K79)</f>
        <v>0</v>
      </c>
      <c r="M10" s="58">
        <f>COUNTBLANK(K80:K86)</f>
        <v>0</v>
      </c>
      <c r="N10" s="58"/>
      <c r="O10" s="58"/>
      <c r="P10" s="58"/>
      <c r="Q10" s="58"/>
      <c r="R10" s="58">
        <f>COUNTBLANK(K87:K93)</f>
        <v>0</v>
      </c>
      <c r="S10" s="58">
        <f>COUNTBLANK(K94:K100)</f>
        <v>0</v>
      </c>
      <c r="T10" s="58">
        <f>COUNTBLANK(K101:K106)</f>
        <v>6</v>
      </c>
      <c r="U10" s="195">
        <f>COUNTBLANK(K107:K113)</f>
        <v>7</v>
      </c>
      <c r="V10" s="58">
        <f>COUNTBLANK(T72:T80)</f>
        <v>1</v>
      </c>
      <c r="W10" s="58"/>
      <c r="X10" s="58"/>
      <c r="Y10" s="58"/>
      <c r="Z10" s="58"/>
      <c r="AA10" s="59">
        <f>COUNTBLANK(T81:T87)</f>
        <v>0</v>
      </c>
      <c r="AB10" s="58">
        <f>COUNTBLANK(T88:T94)</f>
        <v>0</v>
      </c>
      <c r="AC10" s="58">
        <f>COUNTBLANK(T95:T101)</f>
        <v>0</v>
      </c>
      <c r="AD10" s="58">
        <f>COUNTBLANK(T102:T106)</f>
        <v>3</v>
      </c>
      <c r="AE10" s="58">
        <f>COUNTBLANK(T107:T113)</f>
        <v>7</v>
      </c>
      <c r="AF10" s="58"/>
      <c r="AG10" s="58"/>
      <c r="AH10" s="58"/>
      <c r="AI10" s="58"/>
      <c r="AJ10" s="58">
        <f>COUNTBLANK(AC72:AC80)</f>
        <v>4</v>
      </c>
      <c r="AK10" s="58">
        <f>COUNTBLANK(AC81:AC87)</f>
        <v>0</v>
      </c>
      <c r="AL10" s="58">
        <f>COUNTBLANK(AC88:AC94)</f>
        <v>0</v>
      </c>
      <c r="AM10" s="58">
        <f>COUNTBLANK(AC95:AC101)</f>
        <v>0</v>
      </c>
      <c r="AN10" s="60">
        <f>COUNTBLANK(AC102:AC107)</f>
        <v>2</v>
      </c>
      <c r="AO10" s="60"/>
      <c r="AP10" s="60"/>
      <c r="AQ10" s="60"/>
      <c r="AR10" s="60"/>
      <c r="AS10" s="60">
        <f>COUNTBLANK(AC108:AC113)</f>
        <v>6</v>
      </c>
      <c r="AT10" s="60">
        <f>COUNTBLANK(AL72:AL73)</f>
        <v>1</v>
      </c>
      <c r="AU10" s="60">
        <f>COUNTBLANK(AL74:AL80)</f>
        <v>4</v>
      </c>
      <c r="AV10" s="60">
        <f>COUNTBLANK(AL81:AL87)</f>
        <v>0</v>
      </c>
      <c r="AW10" s="60">
        <f>COUNTBLANK(AL88:AL94)</f>
        <v>0</v>
      </c>
      <c r="AX10" s="60"/>
      <c r="AY10" s="60"/>
      <c r="AZ10" s="60"/>
      <c r="BA10" s="60"/>
      <c r="BB10" s="60">
        <f>COUNTBLANK(AL95:AL101)</f>
        <v>0</v>
      </c>
      <c r="BC10" s="60">
        <f>COUNTBLANK(AL102:AL113)</f>
        <v>5</v>
      </c>
      <c r="BD10" s="60">
        <f>COUNTBLANK(AU72:AU80)</f>
        <v>2</v>
      </c>
      <c r="BE10" s="60">
        <f>COUNTBLANK(AU81:AU87)</f>
        <v>0</v>
      </c>
      <c r="BF10" s="60">
        <f>COUNTBLANK(AU88:AU94)</f>
        <v>0</v>
      </c>
      <c r="BG10" s="60">
        <f>COUNTBLANK(AU95:AU101)</f>
        <v>0</v>
      </c>
      <c r="BH10" s="60">
        <f>COUNTBLANK(AU102:AU106)</f>
        <v>3</v>
      </c>
      <c r="BI10" s="60">
        <f>COUNTBLANK(AU107:AU113)</f>
        <v>7</v>
      </c>
    </row>
    <row r="11" spans="1:61" ht="15" hidden="1" customHeight="1">
      <c r="A11" s="57"/>
      <c r="B11" s="58">
        <f>COUNTIF(B72:B79,"1")</f>
        <v>1</v>
      </c>
      <c r="C11" s="58">
        <f>COUNTIF(B80:B86,"1")</f>
        <v>0</v>
      </c>
      <c r="D11" s="58">
        <f>COUNTIF(B87:B93,"1")</f>
        <v>0</v>
      </c>
      <c r="E11" s="58"/>
      <c r="F11" s="58"/>
      <c r="G11" s="58"/>
      <c r="H11" s="58"/>
      <c r="I11" s="58">
        <f>COUNTIF(B94:B100,"1")</f>
        <v>0</v>
      </c>
      <c r="J11" s="58">
        <f>COUNTIF(B101:B107,"1")</f>
        <v>0</v>
      </c>
      <c r="K11" s="58">
        <f>COUNTIF(B108:B113,"1")</f>
        <v>0</v>
      </c>
      <c r="L11" s="58">
        <f>COUNTIF(K72:K79,"1")</f>
        <v>1</v>
      </c>
      <c r="M11" s="58">
        <f>COUNTIF(K80:K86,"1")</f>
        <v>0</v>
      </c>
      <c r="N11" s="58"/>
      <c r="O11" s="58"/>
      <c r="P11" s="58"/>
      <c r="Q11" s="58"/>
      <c r="R11" s="58">
        <f>COUNTIF(K87:K93,"1")</f>
        <v>0</v>
      </c>
      <c r="S11" s="58">
        <f>COUNTIF(K94:K100,"1")</f>
        <v>0</v>
      </c>
      <c r="T11" s="58">
        <f>COUNTIF(K101:K106,"1")</f>
        <v>0</v>
      </c>
      <c r="U11" s="195">
        <f>COUNTIF(K107:K113,"1")</f>
        <v>0</v>
      </c>
      <c r="V11" s="58">
        <f>COUNTIF(T72:T80,"1")</f>
        <v>1</v>
      </c>
      <c r="W11" s="58"/>
      <c r="X11" s="58"/>
      <c r="Y11" s="58"/>
      <c r="Z11" s="58"/>
      <c r="AA11" s="59">
        <f>COUNTIF(T81:T87,"1")</f>
        <v>0</v>
      </c>
      <c r="AB11" s="58">
        <f>COUNTIF(T88:T94,"1")</f>
        <v>0</v>
      </c>
      <c r="AC11" s="58">
        <f>COUNTIF(T95:T101,"1")</f>
        <v>0</v>
      </c>
      <c r="AD11" s="58">
        <f>COUNTIF(T102:T106,"1")</f>
        <v>0</v>
      </c>
      <c r="AE11" s="58">
        <f>COUNTIF(T107:T113,"1")</f>
        <v>0</v>
      </c>
      <c r="AF11" s="58"/>
      <c r="AG11" s="58"/>
      <c r="AH11" s="58"/>
      <c r="AI11" s="58"/>
      <c r="AJ11" s="58">
        <f>COUNTIF(AC72:AC80,"1")</f>
        <v>1</v>
      </c>
      <c r="AK11" s="58">
        <f>COUNTIF(AC81:AC87,"1")</f>
        <v>0</v>
      </c>
      <c r="AL11" s="58">
        <f>COUNTIF(AC88:AC94,"1")</f>
        <v>0</v>
      </c>
      <c r="AM11" s="58">
        <f>COUNTIF(AC95:AC101,"1")</f>
        <v>0</v>
      </c>
      <c r="AN11" s="61">
        <f>COUNTIF(AC102:AC107,"1")</f>
        <v>0</v>
      </c>
      <c r="AO11" s="61"/>
      <c r="AP11" s="61"/>
      <c r="AQ11" s="61"/>
      <c r="AR11" s="61"/>
      <c r="AS11" s="61">
        <f>COUNTIF(AC108:AC113,"1")</f>
        <v>0</v>
      </c>
      <c r="AT11" s="61">
        <f>COUNTIF(AL72:AL73,"1")</f>
        <v>0</v>
      </c>
      <c r="AU11" s="61">
        <f>COUNTIF(AL74:AL80,"1")</f>
        <v>1</v>
      </c>
      <c r="AV11" s="61">
        <f>COUNTIF(AL81:AL87,"1")</f>
        <v>0</v>
      </c>
      <c r="AW11" s="61">
        <f>COUNTIF(AL88:AL94,"1")</f>
        <v>0</v>
      </c>
      <c r="AX11" s="61"/>
      <c r="AY11" s="61"/>
      <c r="AZ11" s="61"/>
      <c r="BA11" s="61"/>
      <c r="BB11" s="61">
        <f>COUNTIF(AL95:AL101,"1")</f>
        <v>0</v>
      </c>
      <c r="BC11" s="61">
        <f>COUNTIF(AL102:AL113,"1")</f>
        <v>0</v>
      </c>
      <c r="BD11" s="61">
        <f>COUNTIF(AU72:AU80,"1")</f>
        <v>1</v>
      </c>
      <c r="BE11" s="61">
        <f>COUNTIF(AU81:AU87,"1")</f>
        <v>0</v>
      </c>
      <c r="BF11" s="61">
        <f>COUNTIF(AU88:AU94,"1")</f>
        <v>0</v>
      </c>
      <c r="BG11" s="61">
        <f>COUNTIF(AU95:AU101,"1")</f>
        <v>0</v>
      </c>
      <c r="BH11" s="61">
        <f>COUNTIF(AU102:AU106,"1")</f>
        <v>0</v>
      </c>
      <c r="BI11" s="61">
        <f>COUNTIF(AU107:AU113,"1")</f>
        <v>0</v>
      </c>
    </row>
    <row r="12" spans="1:61" ht="15" hidden="1" customHeight="1">
      <c r="A12" s="57"/>
      <c r="B12" s="58"/>
      <c r="C12" s="58"/>
      <c r="D12" s="58"/>
      <c r="E12" s="58"/>
      <c r="F12" s="58"/>
      <c r="G12" s="58"/>
      <c r="H12" s="58"/>
      <c r="I12" s="58"/>
      <c r="J12" s="58">
        <f>COUNTIF(B107,"31")</f>
        <v>0</v>
      </c>
      <c r="K12" s="58">
        <f>COUNTIF(B113,"31")</f>
        <v>0</v>
      </c>
      <c r="L12" s="58"/>
      <c r="M12" s="58"/>
      <c r="N12" s="58"/>
      <c r="O12" s="58"/>
      <c r="P12" s="58"/>
      <c r="Q12" s="58"/>
      <c r="R12" s="58"/>
      <c r="S12" s="58">
        <f>COUNTIF(BC25:BC26,"1")</f>
        <v>0</v>
      </c>
      <c r="T12" s="58">
        <f>COUNTIF(BD25:BD26,"1")</f>
        <v>0</v>
      </c>
      <c r="U12" s="195">
        <f>COUNTIF(BE25:BE26,"1")</f>
        <v>0</v>
      </c>
      <c r="V12" s="58"/>
      <c r="W12" s="58"/>
      <c r="X12" s="58"/>
      <c r="Y12" s="58"/>
      <c r="Z12" s="58"/>
      <c r="AA12" s="59"/>
      <c r="AB12" s="58"/>
      <c r="AC12" s="58"/>
      <c r="AD12" s="58">
        <f>COUNTIF(T106,"31")</f>
        <v>0</v>
      </c>
      <c r="AE12" s="58">
        <f>COUNTIF(T113,"31")</f>
        <v>0</v>
      </c>
      <c r="AF12" s="58"/>
      <c r="AG12" s="58"/>
      <c r="AH12" s="58"/>
      <c r="AI12" s="58"/>
      <c r="AJ12" s="58"/>
      <c r="AK12" s="58"/>
      <c r="AL12" s="58"/>
      <c r="AM12" s="58"/>
      <c r="AN12" s="61" t="e">
        <f>COUNTIF(#REF!,"30")</f>
        <v>#REF!</v>
      </c>
      <c r="AO12" s="61"/>
      <c r="AP12" s="61"/>
      <c r="AQ12" s="61"/>
      <c r="AR12" s="61"/>
      <c r="AS12" s="61">
        <f>COUNTIF(AC113,"30")</f>
        <v>0</v>
      </c>
      <c r="AT12" s="61"/>
      <c r="AU12" s="61"/>
      <c r="AV12" s="61"/>
      <c r="AW12" s="61"/>
      <c r="AX12" s="61"/>
      <c r="AY12" s="61"/>
      <c r="AZ12" s="61"/>
      <c r="BA12" s="61"/>
      <c r="BB12" s="61">
        <f>COUNTIF(AL101,"31")</f>
        <v>0</v>
      </c>
      <c r="BC12" s="61">
        <f>COUNTIF(AL113,"31")</f>
        <v>0</v>
      </c>
      <c r="BD12" s="61"/>
      <c r="BE12" s="61"/>
      <c r="BF12" s="61"/>
      <c r="BG12" s="61"/>
      <c r="BH12" s="61">
        <f>COUNTIF(AU106,"30")</f>
        <v>0</v>
      </c>
      <c r="BI12" s="61">
        <f>COUNTIF(AU113,"30")</f>
        <v>0</v>
      </c>
    </row>
    <row r="13" spans="1:61" ht="15" hidden="1" customHeight="1">
      <c r="A13" s="57"/>
      <c r="B13" s="58"/>
      <c r="C13" s="58"/>
      <c r="D13" s="58"/>
      <c r="E13" s="58"/>
      <c r="F13" s="58"/>
      <c r="G13" s="58"/>
      <c r="H13" s="58"/>
      <c r="I13" s="58"/>
      <c r="J13" s="57"/>
      <c r="K13" s="58"/>
      <c r="L13" s="58"/>
      <c r="M13" s="58"/>
      <c r="N13" s="58"/>
      <c r="O13" s="58"/>
      <c r="P13" s="58"/>
      <c r="Q13" s="58"/>
      <c r="R13" s="58"/>
      <c r="S13" s="57"/>
      <c r="T13" s="57"/>
      <c r="V13" s="58"/>
      <c r="W13" s="58"/>
      <c r="X13" s="58"/>
      <c r="Y13" s="58"/>
      <c r="Z13" s="58"/>
      <c r="AA13" s="59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</row>
    <row r="14" spans="1:61" ht="15" hidden="1" customHeight="1">
      <c r="A14" s="57"/>
      <c r="B14" s="58">
        <f>COUNTIF(B72:B79,"31")</f>
        <v>0</v>
      </c>
      <c r="C14" s="58">
        <f>COUNTIF(B80:B86,"31")</f>
        <v>0</v>
      </c>
      <c r="D14" s="58">
        <f>COUNTIF(B87:B93,"31")</f>
        <v>0</v>
      </c>
      <c r="E14" s="58"/>
      <c r="F14" s="58"/>
      <c r="G14" s="58"/>
      <c r="H14" s="58"/>
      <c r="I14" s="58">
        <f>COUNTIF(B94:B100,"31")</f>
        <v>0</v>
      </c>
      <c r="J14" s="58">
        <f>COUNTIF(B101:B107,"31")</f>
        <v>1</v>
      </c>
      <c r="K14" s="58">
        <f>COUNTIF(B108:B113,"31")</f>
        <v>0</v>
      </c>
      <c r="L14" s="58" t="e">
        <f>IF($R$18=29,L17,L16)</f>
        <v>#REF!</v>
      </c>
      <c r="M14" s="58" t="e">
        <f>IF($R$18=29,M17,M16)</f>
        <v>#REF!</v>
      </c>
      <c r="N14" s="58"/>
      <c r="O14" s="58"/>
      <c r="P14" s="58"/>
      <c r="Q14" s="58"/>
      <c r="R14" s="58" t="e">
        <f>IF($R$18=29,R17,R16)</f>
        <v>#REF!</v>
      </c>
      <c r="S14" s="58" t="e">
        <f>IF($R$18=29,S17,S16)</f>
        <v>#REF!</v>
      </c>
      <c r="T14" s="58" t="e">
        <f>IF($R$18=29,T17,T16)</f>
        <v>#REF!</v>
      </c>
      <c r="U14" s="195" t="e">
        <f>IF($R$18=29,U17,U16)</f>
        <v>#REF!</v>
      </c>
      <c r="V14" s="58">
        <f>COUNTIF(T72:T80,"31")</f>
        <v>0</v>
      </c>
      <c r="W14" s="58"/>
      <c r="X14" s="58"/>
      <c r="Y14" s="58"/>
      <c r="Z14" s="58"/>
      <c r="AA14" s="59">
        <f>COUNTIF(T81:T87,"31")</f>
        <v>0</v>
      </c>
      <c r="AB14" s="58">
        <f>COUNTIF(T88:T94,"31")</f>
        <v>0</v>
      </c>
      <c r="AC14" s="58">
        <f>COUNTIF(T95:T101,"31")</f>
        <v>0</v>
      </c>
      <c r="AD14" s="58">
        <f>COUNTIF(T102:T106,"31")</f>
        <v>1</v>
      </c>
      <c r="AE14" s="58">
        <f>COUNTIF(T107:T113,"31")</f>
        <v>0</v>
      </c>
      <c r="AF14" s="58"/>
      <c r="AG14" s="58"/>
      <c r="AH14" s="58"/>
      <c r="AI14" s="58"/>
      <c r="AJ14" s="58">
        <f>COUNTIF(AC72:AC80,"30")</f>
        <v>0</v>
      </c>
      <c r="AK14" s="58">
        <f>COUNTIF(AC81:AC87,"30")</f>
        <v>0</v>
      </c>
      <c r="AL14" s="58">
        <f>COUNTIF(AC88:AC94,"30")</f>
        <v>0</v>
      </c>
      <c r="AM14" s="58">
        <f>COUNTIF(AC95:AC101,"30")</f>
        <v>0</v>
      </c>
      <c r="AN14" s="61">
        <f>COUNTIF(AC102:AC107,"30")</f>
        <v>1</v>
      </c>
      <c r="AO14" s="61"/>
      <c r="AP14" s="61"/>
      <c r="AQ14" s="61"/>
      <c r="AR14" s="61"/>
      <c r="AS14" s="61">
        <f>COUNTIF(AC108:AC113,"30")</f>
        <v>0</v>
      </c>
      <c r="AT14" s="61">
        <f>COUNTIF(AL72:AL73,"31")</f>
        <v>0</v>
      </c>
      <c r="AU14" s="61">
        <f>COUNTIF(AL74:AL80,"31")</f>
        <v>0</v>
      </c>
      <c r="AV14" s="61">
        <f>COUNTIF(AL81:AL87,"31")</f>
        <v>0</v>
      </c>
      <c r="AW14" s="61">
        <f>COUNTIF(AL88:AL94,"31")</f>
        <v>0</v>
      </c>
      <c r="AX14" s="61"/>
      <c r="AY14" s="61"/>
      <c r="AZ14" s="61"/>
      <c r="BA14" s="61"/>
      <c r="BB14" s="61">
        <f>COUNTIF(AL95:AL101,"31")</f>
        <v>0</v>
      </c>
      <c r="BC14" s="61">
        <f>COUNTIF(AL102:AL113,"31")</f>
        <v>1</v>
      </c>
      <c r="BD14" s="61">
        <f>COUNTIF(AU72:AU80,"30")</f>
        <v>0</v>
      </c>
      <c r="BE14" s="61">
        <f>COUNTIF(AU81:AU87,"30")</f>
        <v>0</v>
      </c>
      <c r="BF14" s="61">
        <f>COUNTIF(AU88:AU94,"30")</f>
        <v>0</v>
      </c>
      <c r="BG14" s="61">
        <f>COUNTIF(AU95:AU101,"30")</f>
        <v>0</v>
      </c>
      <c r="BH14" s="61">
        <f>COUNTIF(AU102:AU106,"30")</f>
        <v>1</v>
      </c>
      <c r="BI14" s="61">
        <f>COUNTIF(AU107:AU113,"30")</f>
        <v>0</v>
      </c>
    </row>
    <row r="15" spans="1:61" ht="15" hidden="1" customHeight="1">
      <c r="A15" s="57"/>
      <c r="B15" s="58"/>
      <c r="C15" s="58"/>
      <c r="D15" s="58"/>
      <c r="E15" s="58"/>
      <c r="F15" s="58"/>
      <c r="G15" s="58"/>
      <c r="H15" s="58"/>
      <c r="I15" s="58"/>
      <c r="J15" s="57"/>
      <c r="K15" s="58"/>
      <c r="L15" s="58"/>
      <c r="M15" s="58"/>
      <c r="N15" s="58"/>
      <c r="O15" s="58"/>
      <c r="P15" s="58"/>
      <c r="Q15" s="58"/>
      <c r="R15" s="58"/>
      <c r="S15" s="57"/>
      <c r="T15" s="57"/>
      <c r="V15" s="58"/>
      <c r="W15" s="58"/>
      <c r="X15" s="58"/>
      <c r="Y15" s="58"/>
      <c r="Z15" s="58"/>
      <c r="AA15" s="59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</row>
    <row r="16" spans="1:61" ht="15" hidden="1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8">
        <f>COUNTIF(K72:K79,"28")</f>
        <v>0</v>
      </c>
      <c r="M16" s="58">
        <f>COUNTIF(K80:K86,"28")</f>
        <v>0</v>
      </c>
      <c r="N16" s="58"/>
      <c r="O16" s="58"/>
      <c r="P16" s="58"/>
      <c r="Q16" s="58"/>
      <c r="R16" s="58">
        <f>COUNTIF(K87:K93,"28")</f>
        <v>0</v>
      </c>
      <c r="S16" s="58">
        <f>COUNTIF(K94:K100,"28")</f>
        <v>1</v>
      </c>
      <c r="T16" s="58">
        <f>COUNTIF(K101:K106,"28")</f>
        <v>0</v>
      </c>
      <c r="U16" s="195">
        <f>COUNTIF(K107:K113,"28")</f>
        <v>0</v>
      </c>
      <c r="V16" s="57">
        <v>28</v>
      </c>
      <c r="W16" s="57"/>
      <c r="X16" s="57"/>
      <c r="Y16" s="57"/>
      <c r="Z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</row>
    <row r="17" spans="1:61" ht="15" hidden="1" customHeight="1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>
        <f>COUNTIF(K72:K79,"29")</f>
        <v>0</v>
      </c>
      <c r="M17" s="58">
        <f>COUNTIF(K80:K86,"29")</f>
        <v>0</v>
      </c>
      <c r="N17" s="58"/>
      <c r="O17" s="58"/>
      <c r="P17" s="58"/>
      <c r="Q17" s="58"/>
      <c r="R17" s="58">
        <f>COUNTIF(K87:K93,"29")</f>
        <v>0</v>
      </c>
      <c r="S17" s="58">
        <f>COUNTIF(K94:K100,"29")</f>
        <v>1</v>
      </c>
      <c r="T17" s="58">
        <f>COUNTIF(K101:K106,"29")</f>
        <v>0</v>
      </c>
      <c r="U17" s="195">
        <f>COUNTIF(K107:K113,"29")</f>
        <v>0</v>
      </c>
      <c r="V17" s="58">
        <v>29</v>
      </c>
      <c r="W17" s="58"/>
      <c r="X17" s="58"/>
      <c r="Y17" s="58"/>
      <c r="Z17" s="58"/>
      <c r="AA17" s="59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</row>
    <row r="18" spans="1:61" ht="15" hidden="1" customHeight="1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7"/>
      <c r="M18" s="57"/>
      <c r="N18" s="57"/>
      <c r="O18" s="57"/>
      <c r="P18" s="57"/>
      <c r="Q18" s="57"/>
      <c r="R18" s="62" t="e">
        <f>MAX(#REF!)</f>
        <v>#REF!</v>
      </c>
      <c r="S18" s="57"/>
      <c r="T18" s="57"/>
      <c r="V18" s="58"/>
      <c r="W18" s="58"/>
      <c r="X18" s="58"/>
      <c r="Y18" s="58"/>
      <c r="Z18" s="58"/>
      <c r="AA18" s="59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</row>
    <row r="19" spans="1:61" ht="15" hidden="1" customHeight="1">
      <c r="A19" s="259"/>
      <c r="B19" s="259"/>
      <c r="C19" s="57"/>
      <c r="D19" s="64"/>
      <c r="E19" s="64"/>
      <c r="F19" s="64"/>
      <c r="G19" s="64"/>
      <c r="H19" s="64"/>
      <c r="I19" s="58"/>
      <c r="J19" s="58"/>
      <c r="K19" s="58"/>
      <c r="L19" s="57"/>
      <c r="M19" s="57"/>
      <c r="N19" s="57"/>
      <c r="O19" s="57"/>
      <c r="P19" s="57"/>
      <c r="Q19" s="57"/>
      <c r="R19" s="62"/>
      <c r="S19" s="57"/>
      <c r="T19" s="57"/>
      <c r="V19" s="58"/>
      <c r="W19" s="58"/>
      <c r="X19" s="58"/>
      <c r="Y19" s="58"/>
      <c r="Z19" s="58"/>
      <c r="AA19" s="59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</row>
    <row r="20" spans="1:61" ht="15" hidden="1" customHeight="1">
      <c r="A20" s="57"/>
      <c r="B20" s="58"/>
      <c r="C20" s="58"/>
      <c r="D20" s="58"/>
      <c r="E20" s="58"/>
      <c r="F20" s="58"/>
      <c r="G20" s="58"/>
      <c r="H20" s="58"/>
      <c r="I20" s="58"/>
      <c r="J20" s="58">
        <f>COUNTIF(B206,"31")</f>
        <v>0</v>
      </c>
      <c r="K20" s="58"/>
      <c r="L20" s="57"/>
      <c r="M20" s="57"/>
      <c r="N20" s="57"/>
      <c r="O20" s="57"/>
      <c r="P20" s="57"/>
      <c r="Q20" s="57"/>
      <c r="R20" s="62"/>
      <c r="S20" s="57"/>
      <c r="T20" s="58">
        <f>COUNTIF(K204,"31")</f>
        <v>0</v>
      </c>
      <c r="V20" s="58"/>
      <c r="W20" s="58"/>
      <c r="X20" s="58"/>
      <c r="Y20" s="58"/>
      <c r="Z20" s="58"/>
      <c r="AA20" s="59"/>
      <c r="AB20" s="58"/>
      <c r="AC20" s="58"/>
      <c r="AD20" s="58" t="e">
        <f>COUNTIF(#REF!,"30")</f>
        <v>#REF!</v>
      </c>
      <c r="AE20" s="58"/>
      <c r="AF20" s="58"/>
      <c r="AG20" s="58"/>
      <c r="AH20" s="58"/>
      <c r="AI20" s="58"/>
      <c r="AJ20" s="58"/>
      <c r="AK20" s="58"/>
      <c r="AL20" s="58"/>
      <c r="AM20" s="58"/>
      <c r="AN20" s="61">
        <f>COUNTIF(AC199,"31")</f>
        <v>0</v>
      </c>
      <c r="AO20" s="61"/>
      <c r="AP20" s="61"/>
      <c r="AQ20" s="61"/>
      <c r="AR20" s="61"/>
      <c r="AS20" s="60"/>
      <c r="AT20" s="60"/>
      <c r="AU20" s="60"/>
      <c r="AV20" s="60"/>
      <c r="AW20" s="60"/>
      <c r="AX20" s="60"/>
      <c r="AY20" s="60"/>
      <c r="AZ20" s="60"/>
      <c r="BA20" s="60"/>
      <c r="BB20" s="61">
        <f>COUNTIF(AL200:AL204,"30")</f>
        <v>1</v>
      </c>
      <c r="BC20" s="61">
        <f>COUNTIF(AL205:AL211,"30")</f>
        <v>0</v>
      </c>
      <c r="BD20" s="60"/>
      <c r="BE20" s="60"/>
      <c r="BF20" s="60"/>
      <c r="BG20" s="60"/>
      <c r="BH20" s="60"/>
      <c r="BI20" s="60"/>
    </row>
    <row r="21" spans="1:61" ht="15" hidden="1" customHeight="1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195"/>
      <c r="V21" s="58"/>
      <c r="W21" s="58"/>
      <c r="X21" s="58"/>
      <c r="Y21" s="58"/>
      <c r="Z21" s="58"/>
      <c r="AA21" s="59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>
        <f>COUNTIF(AL204,"30")</f>
        <v>0</v>
      </c>
      <c r="BC21" s="61">
        <f>COUNTIF(AL211,"30")</f>
        <v>0</v>
      </c>
      <c r="BD21" s="61"/>
      <c r="BE21" s="61"/>
      <c r="BF21" s="61"/>
      <c r="BG21" s="61"/>
      <c r="BH21" s="61"/>
      <c r="BI21" s="61"/>
    </row>
    <row r="22" spans="1:61" ht="15" hidden="1" customHeight="1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195"/>
      <c r="V22" s="66"/>
      <c r="W22" s="66"/>
      <c r="X22" s="66"/>
      <c r="Y22" s="66"/>
      <c r="Z22" s="66"/>
      <c r="AA22" s="59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</row>
    <row r="23" spans="1:61" hidden="1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195"/>
      <c r="V23" s="58"/>
      <c r="W23" s="58"/>
      <c r="X23" s="58"/>
      <c r="Y23" s="58"/>
      <c r="Z23" s="58"/>
      <c r="AA23" s="59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</row>
    <row r="24" spans="1:61" ht="13.5" hidden="1" customHeight="1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195"/>
      <c r="V24" s="58"/>
      <c r="W24" s="58"/>
      <c r="X24" s="58"/>
      <c r="Y24" s="58"/>
      <c r="Z24" s="58"/>
      <c r="AA24" s="59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H24" s="60"/>
      <c r="BI24" s="60"/>
    </row>
    <row r="25" spans="1:61" ht="15.75" hidden="1">
      <c r="A25" s="67">
        <f>IF($A$51&gt;0,A56,A63)</f>
        <v>2</v>
      </c>
      <c r="B25" s="67">
        <f>IF($A$51&gt;0,B56,B63)</f>
        <v>3</v>
      </c>
      <c r="C25" s="67" t="str">
        <f>IF($A$51&gt;0,C56,C63)</f>
        <v xml:space="preserve"> /</v>
      </c>
      <c r="D25" s="67">
        <f>IF($A$51&gt;0,D56,D63)</f>
        <v>0</v>
      </c>
      <c r="E25" s="67"/>
      <c r="F25" s="67"/>
      <c r="G25" s="67"/>
      <c r="H25" s="67"/>
      <c r="I25" s="67">
        <f>IF($A$51&gt;0,I56,I63)</f>
        <v>3</v>
      </c>
      <c r="J25" s="67" t="str">
        <f>IF($A$51&gt;0,J56,J63)</f>
        <v xml:space="preserve"> /</v>
      </c>
      <c r="K25" s="67">
        <f>IF($A$51&gt;0,K56,K63)</f>
        <v>2</v>
      </c>
      <c r="L25" s="67">
        <f>IF($A$51&gt;0,L56,L63)</f>
        <v>0</v>
      </c>
      <c r="M25" s="67">
        <f>IF($A$51&gt;0,M56,M63)</f>
        <v>1</v>
      </c>
      <c r="N25" s="67"/>
      <c r="O25" s="67"/>
      <c r="P25" s="67"/>
      <c r="Q25" s="67"/>
      <c r="R25" s="67">
        <f>IF($A$51&gt;0,R56,R63)</f>
        <v>6</v>
      </c>
      <c r="S25" s="67"/>
      <c r="T25" s="67">
        <f>IF($A$51&gt;0,T56,T63)</f>
        <v>0</v>
      </c>
      <c r="U25" s="206">
        <f>IF($A$51&gt;0,U56,U63)</f>
        <v>8</v>
      </c>
      <c r="V25" s="67" t="str">
        <f>IF($A$51&gt;0,V56,V63)</f>
        <v>:</v>
      </c>
      <c r="W25" s="67"/>
      <c r="X25" s="67"/>
      <c r="Y25" s="67"/>
      <c r="Z25" s="67"/>
      <c r="AA25" s="68">
        <f>IF($A$51&gt;0,AA56,AA63)</f>
        <v>5</v>
      </c>
      <c r="AB25" s="67">
        <f>IF($A$51&gt;0,AB56,AB63)</f>
        <v>6</v>
      </c>
      <c r="AC25" s="67" t="str">
        <f>IF($A$51&gt;0,AC56,AC63)</f>
        <v>:</v>
      </c>
      <c r="AD25" s="67">
        <f>IF($A$51&gt;0,AD56,AD63)</f>
        <v>4</v>
      </c>
      <c r="AE25" s="67">
        <f>IF($A$51&gt;0,AE56,AE63)</f>
        <v>3.1076541871243535</v>
      </c>
      <c r="AF25" s="67"/>
      <c r="AG25" s="67"/>
      <c r="AH25" s="67"/>
      <c r="AI25" s="67"/>
      <c r="BB25" s="61">
        <f>A25*10+B25</f>
        <v>23</v>
      </c>
      <c r="BC25" s="61" t="e">
        <f>IF(S35=4,S35,D25*10+I25)</f>
        <v>#REF!</v>
      </c>
      <c r="BD25" s="61"/>
      <c r="BE25" s="61"/>
      <c r="BF25" s="50"/>
    </row>
    <row r="26" spans="1:61" ht="15.75" hidden="1">
      <c r="A26" s="69">
        <f>A25*10+B25</f>
        <v>23</v>
      </c>
      <c r="R26" s="70"/>
      <c r="S26" s="70"/>
      <c r="T26" s="60">
        <f>MAX(V26:AE26)</f>
        <v>1</v>
      </c>
      <c r="U26" s="195"/>
      <c r="V26" s="71">
        <f>IF($I$25=3,COUNTIF(T72:T80,$A$26),"")</f>
        <v>0</v>
      </c>
      <c r="W26" s="71"/>
      <c r="X26" s="71"/>
      <c r="Y26" s="71"/>
      <c r="Z26" s="71"/>
      <c r="AA26" s="59">
        <f>IF($I$25=3,COUNTIF(T81:T87,$A$26),"")</f>
        <v>0</v>
      </c>
      <c r="AB26" s="71">
        <f>IF($I$25=3,COUNTIF(T88:T94,$A$26),"")</f>
        <v>0</v>
      </c>
      <c r="AC26" s="71">
        <f>IF($I$25=3,COUNTIF(T95:T101,$A$26),"")</f>
        <v>1</v>
      </c>
      <c r="AD26" s="71">
        <f>IF($I$25=3,COUNTIF(T102:T106,$A$26),"")</f>
        <v>0</v>
      </c>
      <c r="AE26" s="71">
        <f>IF($I$25=3,COUNTIF(T107:T113,$A$26),"")</f>
        <v>0</v>
      </c>
      <c r="AF26" s="71"/>
      <c r="AG26" s="71"/>
      <c r="AH26" s="71"/>
      <c r="AI26" s="71"/>
      <c r="AJ26" s="71" t="str">
        <f>IF($I$25=4,COUNTIF(AC72:AC80,$A$26),"")</f>
        <v/>
      </c>
      <c r="AK26" s="71" t="str">
        <f>IF($I$25=4,COUNTIF(AC81:AC87,$A$26),"")</f>
        <v/>
      </c>
      <c r="AL26" s="71" t="str">
        <f>IF($I$25=4,COUNTIF(AC88:AC94,$A$26),"")</f>
        <v/>
      </c>
      <c r="AM26" s="71" t="str">
        <f>IF($I$25=4,COUNTIF(AC95:AC101,$A$26),"")</f>
        <v/>
      </c>
      <c r="AN26" s="71" t="str">
        <f>IF($I$25=4,COUNTIF(AC102:AC107,$A$26),"")</f>
        <v/>
      </c>
      <c r="AO26" s="71"/>
      <c r="AP26" s="71"/>
      <c r="AQ26" s="71"/>
      <c r="AR26" s="71"/>
      <c r="AS26" s="71" t="str">
        <f>IF($I$25=4,COUNTIF(AC108:AC113,$A$26),"")</f>
        <v/>
      </c>
      <c r="AT26" s="58">
        <f>MAX(AJ26:AS26)</f>
        <v>0</v>
      </c>
      <c r="BB26" s="50"/>
      <c r="BC26" s="61"/>
      <c r="BD26" s="61"/>
      <c r="BE26" s="61"/>
      <c r="BF26" s="50"/>
    </row>
    <row r="27" spans="1:61" ht="17.25" hidden="1" customHeight="1">
      <c r="A27" s="60">
        <f t="shared" ref="A27:A33" si="0">IF(U27=1,$A$26+T27,0)</f>
        <v>27</v>
      </c>
      <c r="T27" s="60">
        <v>4</v>
      </c>
      <c r="U27" s="195">
        <f t="shared" ref="U27:U33" si="1">IF($I$25=3,AA116,"")</f>
        <v>1</v>
      </c>
      <c r="V27" s="73">
        <f>T72</f>
        <v>0</v>
      </c>
      <c r="W27" s="73"/>
      <c r="X27" s="73"/>
      <c r="Y27" s="73"/>
      <c r="Z27" s="73"/>
      <c r="AA27" s="74">
        <f>T81</f>
        <v>9</v>
      </c>
      <c r="AB27" s="73">
        <f>T88</f>
        <v>16</v>
      </c>
      <c r="AC27" s="73">
        <f>T95</f>
        <v>23</v>
      </c>
      <c r="AD27" s="73">
        <f>T102</f>
        <v>30</v>
      </c>
      <c r="AE27" s="73">
        <f>T107</f>
        <v>0</v>
      </c>
      <c r="AF27" s="73"/>
      <c r="AG27" s="73"/>
      <c r="AH27" s="73"/>
      <c r="AI27" s="73"/>
      <c r="AJ27" s="73">
        <f>AC72</f>
        <v>0</v>
      </c>
      <c r="AK27" s="73">
        <f>AC81</f>
        <v>6</v>
      </c>
      <c r="AL27" s="73">
        <f>AC88</f>
        <v>13</v>
      </c>
      <c r="AM27" s="73">
        <f>AC95</f>
        <v>20</v>
      </c>
      <c r="AN27" s="73">
        <f>AC102</f>
        <v>27</v>
      </c>
      <c r="AO27" s="73"/>
      <c r="AP27" s="73"/>
      <c r="AQ27" s="73"/>
      <c r="AR27" s="73"/>
      <c r="AS27" s="73" t="e">
        <f>#REF!</f>
        <v>#REF!</v>
      </c>
      <c r="AT27" s="72" t="str">
        <f t="shared" ref="AT27:AT33" si="2">IF($I$25=4,AJ116,"")</f>
        <v/>
      </c>
      <c r="AU27" s="73">
        <f>AL72</f>
        <v>-5</v>
      </c>
      <c r="AV27" s="73">
        <f>AL74</f>
        <v>0</v>
      </c>
      <c r="AW27" s="73">
        <f>AL81</f>
        <v>4</v>
      </c>
      <c r="AX27" s="73"/>
      <c r="AY27" s="73"/>
      <c r="AZ27" s="73"/>
      <c r="BA27" s="73"/>
      <c r="BE27" s="9">
        <f>COUNTIF(AU179:AU185,25)</f>
        <v>0</v>
      </c>
      <c r="BF27" s="9">
        <f>COUNTIF(AU186:AU192,25)</f>
        <v>0</v>
      </c>
      <c r="BG27" s="9">
        <f>COUNTIF(AU193:AU199,25)</f>
        <v>1</v>
      </c>
      <c r="BH27" s="9">
        <f>COUNTIF(AU200:AU205,25)</f>
        <v>0</v>
      </c>
      <c r="BI27" s="60">
        <f t="shared" ref="BI27:BI33" si="3">IF(AT27=1,$A$26+T27,0)</f>
        <v>0</v>
      </c>
    </row>
    <row r="28" spans="1:61" hidden="1">
      <c r="A28" s="60">
        <f t="shared" si="0"/>
        <v>0</v>
      </c>
      <c r="T28" s="60">
        <v>3</v>
      </c>
      <c r="U28" s="195">
        <f t="shared" si="1"/>
        <v>0</v>
      </c>
      <c r="V28" s="60"/>
      <c r="W28" s="60"/>
      <c r="X28" s="60"/>
      <c r="Y28" s="60"/>
      <c r="Z28" s="60"/>
      <c r="AA28" s="59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72" t="str">
        <f t="shared" si="2"/>
        <v/>
      </c>
      <c r="BB28" s="50"/>
      <c r="BC28" s="50"/>
      <c r="BD28" s="50">
        <f>MAX(BE28:BH28)</f>
        <v>27</v>
      </c>
      <c r="BE28" s="50" t="str">
        <f>IF(BE27=1,AU185,"")</f>
        <v/>
      </c>
      <c r="BF28" s="50" t="str">
        <f>IF(BF27=1,AU192,"")</f>
        <v/>
      </c>
      <c r="BG28" s="50">
        <f>IF(BG27=1,AU199,"")</f>
        <v>27</v>
      </c>
      <c r="BH28" s="50" t="str">
        <f>IF(BH27=1,#REF!,"")</f>
        <v/>
      </c>
      <c r="BI28" s="60">
        <f t="shared" si="3"/>
        <v>0</v>
      </c>
    </row>
    <row r="29" spans="1:61" hidden="1">
      <c r="A29" s="60">
        <f t="shared" si="0"/>
        <v>0</v>
      </c>
      <c r="B29" s="260" t="b">
        <f>AND(B25&lt;3,I25=4,BI35=3)</f>
        <v>0</v>
      </c>
      <c r="C29" s="260"/>
      <c r="D29" s="260"/>
      <c r="E29" s="60"/>
      <c r="F29" s="60"/>
      <c r="G29" s="60"/>
      <c r="H29" s="60"/>
      <c r="J29" s="60">
        <f>IF(B29=TRUE,31,0)</f>
        <v>0</v>
      </c>
      <c r="T29" s="60">
        <v>2</v>
      </c>
      <c r="U29" s="195">
        <f t="shared" si="1"/>
        <v>0</v>
      </c>
      <c r="V29" s="60"/>
      <c r="W29" s="60"/>
      <c r="X29" s="60"/>
      <c r="Y29" s="60"/>
      <c r="Z29" s="60"/>
      <c r="AA29" s="59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72" t="str">
        <f t="shared" si="2"/>
        <v/>
      </c>
      <c r="BB29" s="50"/>
      <c r="BC29" s="50"/>
      <c r="BD29" s="50"/>
      <c r="BE29" s="50"/>
      <c r="BF29" s="50"/>
      <c r="BI29" s="60">
        <f t="shared" si="3"/>
        <v>0</v>
      </c>
    </row>
    <row r="30" spans="1:61" hidden="1">
      <c r="A30" s="60">
        <f t="shared" si="0"/>
        <v>0</v>
      </c>
      <c r="B30" s="261" t="b">
        <f>OR(AT33=1,U33=1)</f>
        <v>0</v>
      </c>
      <c r="C30" s="261"/>
      <c r="D30" s="261"/>
      <c r="E30" s="261"/>
      <c r="F30" s="261"/>
      <c r="G30" s="261"/>
      <c r="H30" s="261"/>
      <c r="I30" s="261"/>
      <c r="J30" s="75">
        <f>A57</f>
        <v>28</v>
      </c>
      <c r="K30" s="60"/>
      <c r="L30" s="60"/>
      <c r="T30" s="60">
        <v>1</v>
      </c>
      <c r="U30" s="195">
        <f t="shared" si="1"/>
        <v>0</v>
      </c>
      <c r="V30" s="60"/>
      <c r="W30" s="60"/>
      <c r="X30" s="60"/>
      <c r="Y30" s="60"/>
      <c r="Z30" s="60"/>
      <c r="AA30" s="59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72" t="str">
        <f t="shared" si="2"/>
        <v/>
      </c>
      <c r="BB30" s="50"/>
      <c r="BC30" s="50"/>
      <c r="BD30" s="50"/>
      <c r="BE30" s="50"/>
      <c r="BF30" s="50"/>
      <c r="BI30" s="60">
        <f t="shared" si="3"/>
        <v>0</v>
      </c>
    </row>
    <row r="31" spans="1:61" hidden="1">
      <c r="A31" s="60" t="e">
        <f t="shared" si="0"/>
        <v>#REF!</v>
      </c>
      <c r="J31" s="75">
        <f>J30+3</f>
        <v>31</v>
      </c>
      <c r="T31" s="60">
        <v>0</v>
      </c>
      <c r="U31" s="195" t="e">
        <f t="shared" si="1"/>
        <v>#REF!</v>
      </c>
      <c r="V31" s="73">
        <f>T78</f>
        <v>6</v>
      </c>
      <c r="W31" s="73"/>
      <c r="X31" s="73"/>
      <c r="Y31" s="73"/>
      <c r="Z31" s="73"/>
      <c r="AA31" s="74">
        <f>T85</f>
        <v>13</v>
      </c>
      <c r="AB31" s="73">
        <f>T92</f>
        <v>20</v>
      </c>
      <c r="AC31" s="73">
        <f>T99</f>
        <v>27</v>
      </c>
      <c r="AD31" s="73" t="e">
        <f>#REF!</f>
        <v>#REF!</v>
      </c>
      <c r="AE31" s="73">
        <f>T111</f>
        <v>0</v>
      </c>
      <c r="AF31" s="73"/>
      <c r="AG31" s="73"/>
      <c r="AH31" s="73"/>
      <c r="AI31" s="73"/>
      <c r="AJ31" s="73">
        <f>AC78</f>
        <v>3</v>
      </c>
      <c r="AK31" s="73">
        <f>AC85</f>
        <v>10</v>
      </c>
      <c r="AL31" s="73">
        <f>AC92</f>
        <v>17</v>
      </c>
      <c r="AM31" s="73">
        <f>AC99</f>
        <v>24</v>
      </c>
      <c r="AN31" s="73">
        <f>AC106</f>
        <v>0</v>
      </c>
      <c r="AO31" s="73"/>
      <c r="AP31" s="73"/>
      <c r="AQ31" s="73"/>
      <c r="AR31" s="73"/>
      <c r="AS31" s="73">
        <f>AC111</f>
        <v>0</v>
      </c>
      <c r="AT31" s="72" t="str">
        <f t="shared" si="2"/>
        <v/>
      </c>
      <c r="AU31" s="73" t="e">
        <f>#REF!</f>
        <v>#REF!</v>
      </c>
      <c r="AV31" s="73">
        <f>AL78</f>
        <v>1</v>
      </c>
      <c r="AW31" s="73">
        <f>AL85</f>
        <v>8</v>
      </c>
      <c r="AX31" s="73"/>
      <c r="AY31" s="73"/>
      <c r="AZ31" s="73"/>
      <c r="BA31" s="73"/>
      <c r="BB31" s="50"/>
      <c r="BC31" s="50"/>
      <c r="BD31" s="50"/>
      <c r="BE31" s="50"/>
      <c r="BF31" s="50"/>
      <c r="BI31" s="60">
        <f t="shared" si="3"/>
        <v>0</v>
      </c>
    </row>
    <row r="32" spans="1:61" hidden="1">
      <c r="A32" s="60" t="e">
        <f t="shared" si="0"/>
        <v>#REF!</v>
      </c>
      <c r="T32" s="60">
        <v>-1</v>
      </c>
      <c r="U32" s="195" t="e">
        <f t="shared" si="1"/>
        <v>#REF!</v>
      </c>
      <c r="V32" s="60"/>
      <c r="W32" s="60"/>
      <c r="X32" s="60"/>
      <c r="Y32" s="60"/>
      <c r="Z32" s="60"/>
      <c r="AA32" s="59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72" t="str">
        <f t="shared" si="2"/>
        <v/>
      </c>
      <c r="BB32" s="50"/>
      <c r="BC32" s="50"/>
      <c r="BD32" s="50"/>
      <c r="BE32" s="50"/>
      <c r="BF32" s="50"/>
      <c r="BI32" s="60">
        <f t="shared" si="3"/>
        <v>0</v>
      </c>
    </row>
    <row r="33" spans="1:62" hidden="1">
      <c r="A33" s="60">
        <f t="shared" si="0"/>
        <v>0</v>
      </c>
      <c r="T33" s="60">
        <v>-2</v>
      </c>
      <c r="U33" s="195">
        <f t="shared" si="1"/>
        <v>0</v>
      </c>
      <c r="V33" s="73">
        <f>T80</f>
        <v>8</v>
      </c>
      <c r="W33" s="73"/>
      <c r="X33" s="73"/>
      <c r="Y33" s="73"/>
      <c r="Z33" s="73"/>
      <c r="AA33" s="74">
        <f>T87</f>
        <v>15</v>
      </c>
      <c r="AB33" s="73">
        <f>T94</f>
        <v>22</v>
      </c>
      <c r="AC33" s="73">
        <f>T101</f>
        <v>29</v>
      </c>
      <c r="AD33" s="73">
        <f>T106</f>
        <v>0</v>
      </c>
      <c r="AE33" s="73">
        <f>T113</f>
        <v>0</v>
      </c>
      <c r="AF33" s="73"/>
      <c r="AG33" s="73"/>
      <c r="AH33" s="73"/>
      <c r="AI33" s="73"/>
      <c r="AJ33" s="73">
        <f>AC80</f>
        <v>5</v>
      </c>
      <c r="AK33" s="73">
        <f>AC87</f>
        <v>12</v>
      </c>
      <c r="AL33" s="73">
        <f>AC94</f>
        <v>19</v>
      </c>
      <c r="AM33" s="73">
        <f>AC101</f>
        <v>26</v>
      </c>
      <c r="AN33" s="73" t="e">
        <f>#REF!</f>
        <v>#REF!</v>
      </c>
      <c r="AO33" s="73"/>
      <c r="AP33" s="73"/>
      <c r="AQ33" s="73"/>
      <c r="AR33" s="73"/>
      <c r="AS33" s="73">
        <f>AC113</f>
        <v>0</v>
      </c>
      <c r="AT33" s="72" t="str">
        <f t="shared" si="2"/>
        <v/>
      </c>
      <c r="AU33" s="73">
        <f>AL73</f>
        <v>0</v>
      </c>
      <c r="AV33" s="73">
        <f>AL80</f>
        <v>3</v>
      </c>
      <c r="AW33" s="73">
        <f>AL87</f>
        <v>10</v>
      </c>
      <c r="AX33" s="73"/>
      <c r="AY33" s="73"/>
      <c r="AZ33" s="73"/>
      <c r="BA33" s="73"/>
      <c r="BB33" s="50"/>
      <c r="BC33" s="50"/>
      <c r="BD33" s="50"/>
      <c r="BE33" s="50"/>
      <c r="BF33" s="50"/>
      <c r="BI33" s="60">
        <f t="shared" si="3"/>
        <v>0</v>
      </c>
    </row>
    <row r="34" spans="1:62" ht="15.75" hidden="1">
      <c r="A34" s="69" t="e">
        <f>IF(B30=TRUE,J30,IF(J29=31,31,MAX(A27:A33)))</f>
        <v>#REF!</v>
      </c>
      <c r="B34" s="60" t="e">
        <f>$A$34-31</f>
        <v>#REF!</v>
      </c>
      <c r="C34" s="24"/>
      <c r="D34" s="24"/>
      <c r="E34" s="24"/>
      <c r="F34" s="24"/>
      <c r="G34" s="24"/>
      <c r="H34" s="24"/>
      <c r="I34" s="24" t="e">
        <f>IF(A34&lt;=31,A34,B34)</f>
        <v>#REF!</v>
      </c>
      <c r="J34" s="24"/>
      <c r="K34" s="24"/>
      <c r="L34" s="24"/>
      <c r="M34" s="24"/>
      <c r="N34" s="24"/>
      <c r="O34" s="24"/>
      <c r="P34" s="24"/>
      <c r="Q34" s="24"/>
      <c r="R34" s="76" t="s">
        <v>2</v>
      </c>
      <c r="S34" s="77" t="e">
        <f>IF(J29=31,J29,IF($I$25=3,I34,BI34))</f>
        <v>#REF!</v>
      </c>
      <c r="V34" s="60" t="e">
        <f>IF(V31=$S$34,1,"")</f>
        <v>#REF!</v>
      </c>
      <c r="W34" s="60"/>
      <c r="X34" s="60"/>
      <c r="Y34" s="60"/>
      <c r="Z34" s="60"/>
      <c r="AA34" s="59" t="e">
        <f>IF(AA31=$S$34,1,"")</f>
        <v>#REF!</v>
      </c>
      <c r="AB34" s="60" t="e">
        <f>IF(AB31=$S$34,1,"")</f>
        <v>#REF!</v>
      </c>
      <c r="AC34" s="60" t="e">
        <f>IF(AC31=$S$34,1,"")</f>
        <v>#REF!</v>
      </c>
      <c r="AD34" s="60" t="e">
        <f>IF(AD31=$S$34,1,"")</f>
        <v>#REF!</v>
      </c>
      <c r="AE34" s="60" t="e">
        <f>IF(AE31=$S$34,1,"")</f>
        <v>#REF!</v>
      </c>
      <c r="AF34" s="60"/>
      <c r="AG34" s="60"/>
      <c r="AH34" s="60"/>
      <c r="AI34" s="60"/>
      <c r="AJ34" s="60" t="e">
        <f>IF(AJ31=$S$34,1,"")</f>
        <v>#REF!</v>
      </c>
      <c r="AK34" s="60" t="e">
        <f>IF(AK31=$S$34,1,"")</f>
        <v>#REF!</v>
      </c>
      <c r="AL34" s="60" t="e">
        <f>IF(AL31=$S$34,1,"")</f>
        <v>#REF!</v>
      </c>
      <c r="AM34" s="60" t="e">
        <f>IF(AM31=$S$34,1,"")</f>
        <v>#REF!</v>
      </c>
      <c r="AN34" s="60" t="e">
        <f>IF(AN31=$S$34,1,"")</f>
        <v>#REF!</v>
      </c>
      <c r="AO34" s="60"/>
      <c r="AP34" s="60"/>
      <c r="AQ34" s="60"/>
      <c r="AR34" s="60"/>
      <c r="AS34" s="60" t="e">
        <f>IF(AS31=$S$34,1,"")</f>
        <v>#REF!</v>
      </c>
      <c r="AT34" s="60"/>
      <c r="BI34" s="69">
        <f>IF(AL36=TRUE,A64,IF(B30=TRUE,J30,MAX(BI27:BI33)))</f>
        <v>0</v>
      </c>
    </row>
    <row r="35" spans="1:62" ht="15.75" hidden="1">
      <c r="A35" s="69" t="e">
        <f>A34+3</f>
        <v>#REF!</v>
      </c>
      <c r="B35" s="60" t="e">
        <f>$A$35-31</f>
        <v>#REF!</v>
      </c>
      <c r="I35" s="24" t="e">
        <f>IF(A35&lt;=31,A35,B35)</f>
        <v>#REF!</v>
      </c>
      <c r="R35" s="76" t="s">
        <v>3</v>
      </c>
      <c r="S35" s="77" t="e">
        <f>IF($I$25=3,I35,BI35)</f>
        <v>#REF!</v>
      </c>
      <c r="T35" s="60">
        <f>IF(AE35=1,3,4)</f>
        <v>3</v>
      </c>
      <c r="U35" s="194" t="e">
        <f>IF($S$35-2&gt;0,$S$35,"")</f>
        <v>#REF!</v>
      </c>
      <c r="V35" s="9" t="e">
        <f>IF($S$35-1&gt;0,$S$35,"")</f>
        <v>#REF!</v>
      </c>
      <c r="AA35" s="59"/>
      <c r="AB35" s="60"/>
      <c r="AE35" s="78">
        <f>IF(T26=1,1,SUM(V34:AE34))</f>
        <v>1</v>
      </c>
      <c r="AF35" s="78"/>
      <c r="AG35" s="78"/>
      <c r="AH35" s="78"/>
      <c r="AI35" s="78"/>
      <c r="AJ35" s="42" t="e">
        <f>IF(AT26=1,1,SUM(AJ34:AS34))</f>
        <v>#REF!</v>
      </c>
      <c r="AS35" s="60"/>
      <c r="BB35" s="50"/>
      <c r="BC35" s="50"/>
      <c r="BD35" s="50"/>
      <c r="BE35" s="50"/>
      <c r="BF35" s="50"/>
      <c r="BI35" s="79">
        <f>BI34+3</f>
        <v>3</v>
      </c>
    </row>
    <row r="36" spans="1:62" ht="15" hidden="1" customHeight="1">
      <c r="A36" s="80" t="e">
        <f>AC36-44</f>
        <v>#REF!</v>
      </c>
      <c r="B36" s="81" t="s">
        <v>4</v>
      </c>
      <c r="C36" s="80"/>
      <c r="D36" s="24"/>
      <c r="E36" s="24"/>
      <c r="F36" s="24"/>
      <c r="G36" s="24"/>
      <c r="H36" s="24"/>
      <c r="I36" s="24" t="e">
        <f>DAY(A36)</f>
        <v>#REF!</v>
      </c>
      <c r="J36" s="24" t="e">
        <f>MONTH(A36)</f>
        <v>#REF!</v>
      </c>
      <c r="K36" s="24"/>
      <c r="L36" s="24" t="e">
        <f>IF(J36=2,I36,"A")</f>
        <v>#REF!</v>
      </c>
      <c r="M36" s="24" t="e">
        <f>IF(J36=3,I36,"A")</f>
        <v>#REF!</v>
      </c>
      <c r="N36" s="24"/>
      <c r="O36" s="24"/>
      <c r="P36" s="24"/>
      <c r="Q36" s="24"/>
      <c r="R36" s="24"/>
      <c r="S36" s="24"/>
      <c r="T36" s="24"/>
      <c r="U36" s="196"/>
      <c r="V36" s="24"/>
      <c r="W36" s="24"/>
      <c r="X36" s="24"/>
      <c r="Y36" s="24"/>
      <c r="Z36" s="24"/>
      <c r="AA36" s="59"/>
      <c r="AB36" s="24"/>
      <c r="AC36" s="268" t="e">
        <f>IF(A34&gt;31,DATE(A1,T35+1,S34),DATE(A1,T35,S34))</f>
        <v>#REF!</v>
      </c>
      <c r="AD36" s="268"/>
      <c r="AE36" s="268"/>
      <c r="AF36" s="80"/>
      <c r="AG36" s="80"/>
      <c r="AH36" s="80"/>
      <c r="AI36" s="80"/>
      <c r="AK36" s="82">
        <v>4</v>
      </c>
      <c r="AL36" s="272" t="b">
        <f>IF(I63=4,OR(AM31=A64,AL31=A64,AK31=A64,AJ31=A64,AN31=A64,AS31=A64),"")</f>
        <v>0</v>
      </c>
      <c r="AM36" s="272"/>
      <c r="AN36" s="272"/>
      <c r="AO36" s="272"/>
      <c r="AP36" s="272"/>
      <c r="AQ36" s="272"/>
      <c r="AR36" s="272"/>
      <c r="AS36" s="272"/>
      <c r="BB36" s="50"/>
      <c r="BC36" s="50"/>
      <c r="BD36" s="50"/>
      <c r="BE36" s="50"/>
      <c r="BF36" s="50"/>
      <c r="BJ36" s="83"/>
    </row>
    <row r="37" spans="1:62" hidden="1">
      <c r="A37" s="84" t="e">
        <f>AC36+51</f>
        <v>#REF!</v>
      </c>
      <c r="B37" s="9" t="s">
        <v>5</v>
      </c>
      <c r="L37" s="24" t="e">
        <f>DAY(A37)</f>
        <v>#REF!</v>
      </c>
      <c r="M37" s="24" t="e">
        <f>MONTH(A37)</f>
        <v>#REF!</v>
      </c>
      <c r="N37" s="24"/>
      <c r="O37" s="24"/>
      <c r="P37" s="24"/>
      <c r="Q37" s="24"/>
      <c r="S37" s="24" t="e">
        <f>IF(M37=5,L37,"A")</f>
        <v>#REF!</v>
      </c>
      <c r="T37" s="24" t="e">
        <f>IF(M37=6,L37,"A")</f>
        <v>#REF!</v>
      </c>
      <c r="V37" s="60"/>
      <c r="W37" s="60"/>
      <c r="X37" s="60"/>
      <c r="Y37" s="60"/>
      <c r="Z37" s="60"/>
      <c r="AC37" s="268">
        <f>DATE(A1,12,BD28)</f>
        <v>42731</v>
      </c>
      <c r="AD37" s="268"/>
      <c r="AE37" s="268"/>
      <c r="AF37" s="80"/>
      <c r="AG37" s="80"/>
      <c r="AH37" s="80"/>
      <c r="AI37" s="80"/>
      <c r="AK37" s="82">
        <v>3</v>
      </c>
      <c r="AL37" s="269" t="str">
        <f>IF(I63=3,OR(AE31=A64,AD31=A64,AC31=A64,AB31=A64,AA31=A64,V31=A64),"")</f>
        <v/>
      </c>
      <c r="AM37" s="269"/>
      <c r="AN37" s="269"/>
      <c r="AO37" s="269"/>
      <c r="AP37" s="269"/>
      <c r="AQ37" s="269"/>
      <c r="AR37" s="269"/>
      <c r="AS37" s="269"/>
    </row>
    <row r="38" spans="1:62" hidden="1">
      <c r="A38" s="84">
        <f>AC37-28</f>
        <v>42703</v>
      </c>
      <c r="B38" s="9" t="s">
        <v>6</v>
      </c>
      <c r="L38" s="24">
        <f>DAY(A38)</f>
        <v>29</v>
      </c>
      <c r="M38" s="24">
        <f>MONTH(A38)</f>
        <v>11</v>
      </c>
      <c r="N38" s="24"/>
      <c r="O38" s="24"/>
      <c r="P38" s="24"/>
      <c r="Q38" s="24"/>
      <c r="S38" s="24">
        <f>IF(M38=11,L38,"A")</f>
        <v>29</v>
      </c>
      <c r="T38" s="24" t="str">
        <f>IF(M38=12,L38,"A")</f>
        <v>A</v>
      </c>
      <c r="AK38" s="82">
        <v>5</v>
      </c>
      <c r="AL38" s="269" t="str">
        <f>IF(I63=5,OR(AU31=A64,AV31=A64,AW31=A64),"")</f>
        <v/>
      </c>
      <c r="AM38" s="269"/>
      <c r="AN38" s="269"/>
      <c r="AO38" s="269"/>
      <c r="AP38" s="269"/>
      <c r="AQ38" s="269"/>
      <c r="AR38" s="269"/>
      <c r="AS38" s="269"/>
    </row>
    <row r="39" spans="1:62" ht="15" hidden="1" customHeight="1"/>
    <row r="40" spans="1:62" hidden="1">
      <c r="A40" s="9">
        <v>2001</v>
      </c>
    </row>
    <row r="41" spans="1:62" hidden="1">
      <c r="B41" s="57"/>
      <c r="C41" s="57"/>
      <c r="D41" s="57"/>
      <c r="E41" s="57"/>
      <c r="F41" s="57"/>
      <c r="G41" s="57"/>
      <c r="H41" s="57"/>
      <c r="I41" s="57"/>
    </row>
    <row r="42" spans="1:62" ht="15.75" hidden="1">
      <c r="A42" s="85" t="s">
        <v>7</v>
      </c>
      <c r="K42" s="86" t="s">
        <v>8</v>
      </c>
      <c r="T42" s="271">
        <f>A47-AN44</f>
        <v>115</v>
      </c>
      <c r="U42" s="271"/>
      <c r="AK42" s="87">
        <f>T42*BJ42</f>
        <v>42002.852885</v>
      </c>
      <c r="AL42" s="88"/>
      <c r="BJ42" s="60">
        <v>365.24219900000003</v>
      </c>
    </row>
    <row r="43" spans="1:62" hidden="1">
      <c r="A43" s="86" t="str">
        <f>IF(AL43=AL44,"","Chybne vložený dátum")</f>
        <v/>
      </c>
      <c r="B43" s="86">
        <v>5</v>
      </c>
      <c r="T43" s="89">
        <v>0</v>
      </c>
      <c r="U43" s="197">
        <v>4</v>
      </c>
      <c r="V43" s="89"/>
      <c r="W43" s="89"/>
      <c r="X43" s="89"/>
      <c r="Y43" s="89"/>
      <c r="Z43" s="89"/>
      <c r="AA43" s="90">
        <v>5</v>
      </c>
      <c r="AB43" s="89">
        <v>8</v>
      </c>
      <c r="AC43" s="89"/>
      <c r="AD43" s="89">
        <v>2</v>
      </c>
      <c r="AE43" s="89">
        <v>1</v>
      </c>
      <c r="AF43" s="89"/>
      <c r="AG43" s="89"/>
      <c r="AH43" s="89"/>
      <c r="AI43" s="89"/>
      <c r="AL43" s="91">
        <f>DAY(AK44)</f>
        <v>22</v>
      </c>
      <c r="AT43" s="60">
        <f>AW44*BB44</f>
        <v>0.83194630800000002</v>
      </c>
      <c r="AW43" s="60" t="b">
        <f>AND(AT44&lt;=82800,AU44&lt;=3540,AV44&lt;=59)</f>
        <v>1</v>
      </c>
      <c r="AX43" s="60"/>
      <c r="AY43" s="60"/>
      <c r="AZ43" s="60"/>
      <c r="BA43" s="60"/>
      <c r="BB43" s="92" t="s">
        <v>9</v>
      </c>
      <c r="BJ43" s="60">
        <v>365.24219900000003</v>
      </c>
    </row>
    <row r="44" spans="1:62" ht="15.75" hidden="1">
      <c r="A44" s="79">
        <v>2</v>
      </c>
      <c r="B44" s="79">
        <v>2</v>
      </c>
      <c r="C44" s="79" t="s">
        <v>10</v>
      </c>
      <c r="D44" s="79">
        <v>0</v>
      </c>
      <c r="E44" s="79"/>
      <c r="F44" s="79"/>
      <c r="G44" s="79"/>
      <c r="H44" s="79"/>
      <c r="I44" s="79">
        <v>3</v>
      </c>
      <c r="J44" s="79" t="s">
        <v>10</v>
      </c>
      <c r="K44" s="79">
        <v>1</v>
      </c>
      <c r="L44" s="79">
        <v>9</v>
      </c>
      <c r="M44" s="79">
        <v>0</v>
      </c>
      <c r="N44" s="79"/>
      <c r="O44" s="79"/>
      <c r="P44" s="79"/>
      <c r="Q44" s="79"/>
      <c r="R44" s="79">
        <v>1</v>
      </c>
      <c r="S44" s="79"/>
      <c r="T44" s="79">
        <v>1</v>
      </c>
      <c r="U44" s="206">
        <v>9</v>
      </c>
      <c r="V44" s="79" t="s">
        <v>11</v>
      </c>
      <c r="W44" s="79"/>
      <c r="X44" s="79"/>
      <c r="Y44" s="79"/>
      <c r="Z44" s="79"/>
      <c r="AA44" s="93">
        <v>5</v>
      </c>
      <c r="AB44" s="79">
        <v>8</v>
      </c>
      <c r="AC44" s="79" t="s">
        <v>11</v>
      </c>
      <c r="AD44" s="79">
        <v>0</v>
      </c>
      <c r="AE44" s="79">
        <v>0</v>
      </c>
      <c r="AF44" s="79"/>
      <c r="AG44" s="79"/>
      <c r="AH44" s="79"/>
      <c r="AI44" s="79"/>
      <c r="AK44" s="94">
        <f>DATE(AN44,AM44,AL44)+AT43</f>
        <v>447.831946308</v>
      </c>
      <c r="AL44" s="9">
        <f>A44*10+B44</f>
        <v>22</v>
      </c>
      <c r="AM44" s="9">
        <f>D44*10+I44</f>
        <v>3</v>
      </c>
      <c r="AN44" s="9">
        <f>K44*1000+L44*100+M44*10+R44</f>
        <v>1901</v>
      </c>
      <c r="AT44" s="9">
        <f>(T44*10+U44)*3600</f>
        <v>68400</v>
      </c>
      <c r="AU44" s="9">
        <f>(AA44*10+AB44)*60</f>
        <v>3480</v>
      </c>
      <c r="AV44" s="9">
        <f>AD44*10+AE44</f>
        <v>0</v>
      </c>
      <c r="AW44" s="9">
        <f>AT44+AU44+AV44</f>
        <v>71880</v>
      </c>
      <c r="BB44" s="95">
        <v>1.15741E-5</v>
      </c>
    </row>
    <row r="45" spans="1:62" ht="15.75" hidden="1">
      <c r="A45" s="79">
        <f>AT46</f>
        <v>2</v>
      </c>
      <c r="B45" s="96">
        <f>AT47</f>
        <v>1</v>
      </c>
      <c r="C45" s="79" t="s">
        <v>10</v>
      </c>
      <c r="D45" s="79">
        <f>AU46</f>
        <v>0</v>
      </c>
      <c r="E45" s="79"/>
      <c r="F45" s="79"/>
      <c r="G45" s="79"/>
      <c r="H45" s="79"/>
      <c r="I45" s="96">
        <f>AU47</f>
        <v>3</v>
      </c>
      <c r="J45" s="79" t="s">
        <v>10</v>
      </c>
      <c r="K45" s="96">
        <f>AV46</f>
        <v>2</v>
      </c>
      <c r="L45" s="96">
        <f>AV47</f>
        <v>0</v>
      </c>
      <c r="M45" s="96">
        <f>AV48</f>
        <v>1</v>
      </c>
      <c r="N45" s="96"/>
      <c r="O45" s="96"/>
      <c r="P45" s="96"/>
      <c r="Q45" s="96"/>
      <c r="R45" s="96">
        <f>AV49</f>
        <v>6</v>
      </c>
      <c r="S45" s="96"/>
      <c r="T45" s="96">
        <f>AM48</f>
        <v>1</v>
      </c>
      <c r="U45" s="207">
        <f>AM49</f>
        <v>6</v>
      </c>
      <c r="V45" s="96" t="s">
        <v>11</v>
      </c>
      <c r="W45" s="96"/>
      <c r="X45" s="96"/>
      <c r="Y45" s="96"/>
      <c r="Z45" s="96"/>
      <c r="AA45" s="97">
        <f>AN48</f>
        <v>2</v>
      </c>
      <c r="AB45" s="96">
        <f>AN49</f>
        <v>6</v>
      </c>
      <c r="AC45" s="96" t="s">
        <v>11</v>
      </c>
      <c r="AD45" s="96">
        <f>AS48</f>
        <v>0</v>
      </c>
      <c r="AE45" s="96">
        <f>AS49</f>
        <v>9.2924717454133088</v>
      </c>
      <c r="AF45" s="96"/>
      <c r="AG45" s="96"/>
      <c r="AH45" s="96"/>
      <c r="AI45" s="96"/>
      <c r="AK45" s="94">
        <f>AK44+AK42</f>
        <v>42450.684831307997</v>
      </c>
      <c r="AL45" s="91">
        <f>$AK45</f>
        <v>42450.684831307997</v>
      </c>
      <c r="AM45" s="98">
        <f>$AK45</f>
        <v>42450.684831307997</v>
      </c>
      <c r="AN45" s="99">
        <f>$AK45</f>
        <v>42450.684831307997</v>
      </c>
      <c r="AO45" s="99"/>
      <c r="AP45" s="99"/>
      <c r="AQ45" s="99"/>
      <c r="AR45" s="99"/>
      <c r="AT45" s="100">
        <f>DAY(AK45)</f>
        <v>21</v>
      </c>
      <c r="AU45" s="100">
        <f>MONTH(AK45)</f>
        <v>3</v>
      </c>
      <c r="AV45" s="101">
        <f>YEAR(AK45)</f>
        <v>2016</v>
      </c>
      <c r="AW45" s="102"/>
      <c r="AX45" s="102"/>
      <c r="AY45" s="102"/>
      <c r="AZ45" s="102"/>
      <c r="BA45" s="102"/>
    </row>
    <row r="46" spans="1:62" hidden="1">
      <c r="AL46" s="103"/>
      <c r="AT46" s="102">
        <f>ROUNDDOWN(AT45/10,0)</f>
        <v>2</v>
      </c>
      <c r="AU46" s="102">
        <f>ROUNDDOWN(AU45/10,0)</f>
        <v>0</v>
      </c>
      <c r="AV46" s="102">
        <f>ROUNDDOWN(AV45/1000,0)</f>
        <v>2</v>
      </c>
      <c r="AW46" s="102">
        <f>AV45-AV46*1000</f>
        <v>16</v>
      </c>
      <c r="AX46" s="102"/>
      <c r="AY46" s="102"/>
      <c r="AZ46" s="102"/>
      <c r="BA46" s="102"/>
    </row>
    <row r="47" spans="1:62" hidden="1">
      <c r="A47" s="104">
        <f>A1</f>
        <v>2016</v>
      </c>
      <c r="B47" s="105" t="s">
        <v>12</v>
      </c>
      <c r="AK47" s="106">
        <f>FLOOR(AK45,1)</f>
        <v>42450</v>
      </c>
      <c r="AL47" s="98"/>
      <c r="AM47" s="107" t="s">
        <v>13</v>
      </c>
      <c r="AN47" s="108" t="s">
        <v>14</v>
      </c>
      <c r="AO47" s="108"/>
      <c r="AP47" s="108"/>
      <c r="AQ47" s="108"/>
      <c r="AR47" s="108"/>
      <c r="AS47" s="108" t="s">
        <v>15</v>
      </c>
      <c r="AT47" s="109">
        <f>AT45-AT46*10</f>
        <v>1</v>
      </c>
      <c r="AU47" s="109">
        <f>AU45-AU46*10</f>
        <v>3</v>
      </c>
      <c r="AV47" s="102">
        <f>ROUNDDOWN(AW46/100,0)</f>
        <v>0</v>
      </c>
      <c r="AW47" s="102">
        <f>AW46-AV47*100</f>
        <v>16</v>
      </c>
      <c r="AX47" s="102"/>
      <c r="AY47" s="102"/>
      <c r="AZ47" s="102"/>
      <c r="BA47" s="102"/>
    </row>
    <row r="48" spans="1:62" hidden="1">
      <c r="AK48" s="106">
        <f>(AK45-AK47)/BB44/3600</f>
        <v>16.435914575484837</v>
      </c>
      <c r="AL48" s="110">
        <f>FLOOR(AK48,1)</f>
        <v>16</v>
      </c>
      <c r="AM48" s="111">
        <f>ROUNDDOWN(AL48/10,0)</f>
        <v>1</v>
      </c>
      <c r="AN48" s="111">
        <f>ROUNDDOWN(AL49/10,0)</f>
        <v>2</v>
      </c>
      <c r="AO48" s="111"/>
      <c r="AP48" s="111"/>
      <c r="AQ48" s="111"/>
      <c r="AR48" s="111"/>
      <c r="AS48" s="111">
        <f>ROUNDDOWN(AK50/10,0)</f>
        <v>0</v>
      </c>
      <c r="AT48" s="102"/>
      <c r="AU48" s="102"/>
      <c r="AV48" s="102">
        <f>ROUNDDOWN(AW47/10,0)</f>
        <v>1</v>
      </c>
      <c r="AW48" s="102">
        <f>AW47-AV48*10</f>
        <v>6</v>
      </c>
      <c r="AX48" s="102"/>
      <c r="AY48" s="102"/>
      <c r="AZ48" s="102"/>
      <c r="BA48" s="102"/>
    </row>
    <row r="49" spans="1:62" hidden="1">
      <c r="AK49" s="110">
        <f>(AK48-AL48)*60</f>
        <v>26.154874529090222</v>
      </c>
      <c r="AL49" s="110">
        <f>FLOOR(AK49,1)</f>
        <v>26</v>
      </c>
      <c r="AM49" s="111">
        <f>AL48-AM48*10</f>
        <v>6</v>
      </c>
      <c r="AN49" s="111">
        <f>AL49-AN48*10</f>
        <v>6</v>
      </c>
      <c r="AO49" s="111"/>
      <c r="AP49" s="111"/>
      <c r="AQ49" s="111"/>
      <c r="AR49" s="111"/>
      <c r="AS49" s="111">
        <f>AK50-AS48*10</f>
        <v>9.2924717454133088</v>
      </c>
      <c r="AT49" s="102"/>
      <c r="AU49" s="102"/>
      <c r="AV49" s="102">
        <f>ROUNDDOWN(AW48,0)</f>
        <v>6</v>
      </c>
      <c r="AW49" s="102"/>
      <c r="AX49" s="102"/>
      <c r="AY49" s="102"/>
      <c r="AZ49" s="102"/>
      <c r="BA49" s="102"/>
    </row>
    <row r="50" spans="1:62" hidden="1">
      <c r="R50" s="70"/>
      <c r="S50" s="70"/>
      <c r="T50" s="60"/>
      <c r="U50" s="195"/>
      <c r="V50" s="60"/>
      <c r="W50" s="60"/>
      <c r="X50" s="60"/>
      <c r="Y50" s="60"/>
      <c r="Z50" s="60"/>
      <c r="AA50" s="59"/>
      <c r="AB50" s="60"/>
      <c r="AC50" s="70"/>
      <c r="AK50" s="112">
        <f>(AK49-AL49)*60</f>
        <v>9.2924717454133088</v>
      </c>
      <c r="AT50" s="113" t="s">
        <v>16</v>
      </c>
      <c r="AU50" s="113" t="s">
        <v>14</v>
      </c>
      <c r="AV50" s="113" t="s">
        <v>17</v>
      </c>
    </row>
    <row r="51" spans="1:62" hidden="1">
      <c r="A51" s="264">
        <f>AK56-AK45</f>
        <v>1.6878906803030986</v>
      </c>
      <c r="B51" s="264"/>
      <c r="C51" s="114"/>
      <c r="D51" s="114"/>
      <c r="E51" s="114"/>
      <c r="F51" s="114"/>
      <c r="G51" s="114"/>
      <c r="H51" s="114"/>
      <c r="I51" s="265">
        <v>36251</v>
      </c>
      <c r="J51" s="265"/>
      <c r="K51" s="265"/>
      <c r="M51" s="9" t="s">
        <v>18</v>
      </c>
      <c r="R51" s="70"/>
      <c r="S51" s="70"/>
      <c r="T51" s="60"/>
      <c r="U51" s="195"/>
      <c r="V51" s="70"/>
      <c r="W51" s="70"/>
      <c r="X51" s="70"/>
      <c r="Y51" s="70"/>
      <c r="Z51" s="70"/>
      <c r="AA51" s="115"/>
      <c r="AB51" s="70"/>
      <c r="AC51" s="70"/>
      <c r="AK51" s="116"/>
      <c r="BJ51" s="60">
        <v>27.321527</v>
      </c>
    </row>
    <row r="52" spans="1:62" hidden="1">
      <c r="M52" s="9" t="s">
        <v>19</v>
      </c>
      <c r="R52" s="70"/>
      <c r="S52" s="70"/>
      <c r="T52" s="70"/>
      <c r="U52" s="198"/>
      <c r="V52" s="260">
        <v>29.530584999999999</v>
      </c>
      <c r="W52" s="260"/>
      <c r="X52" s="260"/>
      <c r="Y52" s="260"/>
      <c r="Z52" s="260"/>
      <c r="AA52" s="260"/>
      <c r="AB52" s="260"/>
      <c r="AC52" s="70"/>
      <c r="BJ52" s="60">
        <v>29.530584999999999</v>
      </c>
    </row>
    <row r="53" spans="1:62" ht="15.75" hidden="1">
      <c r="A53" s="85" t="s">
        <v>20</v>
      </c>
      <c r="L53" s="117" t="s">
        <v>21</v>
      </c>
      <c r="V53" s="271">
        <f>CEILING(AK42/V52,1)</f>
        <v>1423</v>
      </c>
      <c r="W53" s="271"/>
      <c r="X53" s="271"/>
      <c r="Y53" s="271"/>
      <c r="Z53" s="271"/>
      <c r="AA53" s="271"/>
      <c r="AB53" s="271"/>
      <c r="AK53" s="267">
        <f>V53*V52</f>
        <v>42022.022454999998</v>
      </c>
      <c r="AL53" s="267"/>
      <c r="AM53" s="267"/>
      <c r="BJ53" s="60">
        <v>27.212219999999999</v>
      </c>
    </row>
    <row r="54" spans="1:62" hidden="1">
      <c r="A54" s="86" t="str">
        <f>IF(AL54=AL55,"","Chybne vložený dátum")</f>
        <v/>
      </c>
      <c r="B54" s="9">
        <v>6</v>
      </c>
      <c r="S54" s="89" t="str">
        <f>IF(AW54=TRUE,"","Chybne vložený čas")</f>
        <v/>
      </c>
      <c r="T54" s="89">
        <v>1</v>
      </c>
      <c r="U54" s="197">
        <v>7</v>
      </c>
      <c r="V54" s="89"/>
      <c r="W54" s="89"/>
      <c r="X54" s="89"/>
      <c r="Y54" s="89"/>
      <c r="Z54" s="89"/>
      <c r="AA54" s="90">
        <v>3</v>
      </c>
      <c r="AB54" s="89">
        <v>5</v>
      </c>
      <c r="AC54" s="89"/>
      <c r="AD54" s="89">
        <v>4</v>
      </c>
      <c r="AE54" s="89">
        <v>9</v>
      </c>
      <c r="AF54" s="89"/>
      <c r="AG54" s="89"/>
      <c r="AH54" s="89"/>
      <c r="AI54" s="89"/>
      <c r="AL54" s="91">
        <f>DAY(AK55)</f>
        <v>5</v>
      </c>
      <c r="AT54" s="60">
        <f>AW55*BB55</f>
        <v>0.35026698829999997</v>
      </c>
      <c r="AW54" s="60" t="b">
        <f>AND(AT55&lt;=82800,AU55&lt;=3540,AV55&lt;=59)</f>
        <v>1</v>
      </c>
      <c r="AX54" s="60"/>
      <c r="AY54" s="60"/>
      <c r="AZ54" s="60"/>
      <c r="BA54" s="60"/>
      <c r="BB54" s="92" t="s">
        <v>9</v>
      </c>
      <c r="BJ54" s="60">
        <v>27.321582169999999</v>
      </c>
    </row>
    <row r="55" spans="1:62" ht="15.75" hidden="1">
      <c r="A55" s="79">
        <v>0</v>
      </c>
      <c r="B55" s="79">
        <v>5</v>
      </c>
      <c r="C55" s="79" t="str">
        <f>C44</f>
        <v xml:space="preserve"> /</v>
      </c>
      <c r="D55" s="79">
        <f>D44</f>
        <v>0</v>
      </c>
      <c r="E55" s="79"/>
      <c r="F55" s="79"/>
      <c r="G55" s="79"/>
      <c r="H55" s="79"/>
      <c r="I55" s="79">
        <v>3</v>
      </c>
      <c r="J55" s="79" t="str">
        <f>J44</f>
        <v xml:space="preserve"> /</v>
      </c>
      <c r="K55" s="79">
        <f>K44</f>
        <v>1</v>
      </c>
      <c r="L55" s="79">
        <f>L44</f>
        <v>9</v>
      </c>
      <c r="M55" s="79">
        <f>M44</f>
        <v>0</v>
      </c>
      <c r="N55" s="79"/>
      <c r="O55" s="79"/>
      <c r="P55" s="79"/>
      <c r="Q55" s="79"/>
      <c r="R55" s="79">
        <f>R44</f>
        <v>1</v>
      </c>
      <c r="S55" s="79"/>
      <c r="T55" s="79">
        <v>0</v>
      </c>
      <c r="U55" s="206">
        <v>8</v>
      </c>
      <c r="V55" s="79" t="str">
        <f>V44</f>
        <v>:</v>
      </c>
      <c r="W55" s="79"/>
      <c r="X55" s="79"/>
      <c r="Y55" s="79"/>
      <c r="Z55" s="79"/>
      <c r="AA55" s="68">
        <v>2</v>
      </c>
      <c r="AB55" s="79">
        <v>4</v>
      </c>
      <c r="AC55" s="79" t="str">
        <f>AC44</f>
        <v>:</v>
      </c>
      <c r="AD55" s="79">
        <v>2</v>
      </c>
      <c r="AE55" s="79">
        <v>3</v>
      </c>
      <c r="AF55" s="79"/>
      <c r="AG55" s="79"/>
      <c r="AH55" s="79"/>
      <c r="AI55" s="79"/>
      <c r="AJ55" s="79"/>
      <c r="AK55" s="94">
        <f>DATE(AN55,AM55,AL55)+AT54</f>
        <v>430.35026698830001</v>
      </c>
      <c r="AL55" s="9">
        <f>A55*10+B55</f>
        <v>5</v>
      </c>
      <c r="AM55" s="9">
        <f>D55*10+I55</f>
        <v>3</v>
      </c>
      <c r="AN55" s="9">
        <f>K55*1000+L55*100+M55*10+R55</f>
        <v>1901</v>
      </c>
      <c r="AT55" s="9">
        <f>(T55*10+U55)*3600</f>
        <v>28800</v>
      </c>
      <c r="AU55" s="9">
        <f>(AA55*10+AB55)*60</f>
        <v>1440</v>
      </c>
      <c r="AV55" s="9">
        <f>AD55*10+AE55</f>
        <v>23</v>
      </c>
      <c r="AW55" s="9">
        <f>AT55+AU55+AV55</f>
        <v>30263</v>
      </c>
      <c r="BB55" s="95">
        <v>1.15741E-5</v>
      </c>
      <c r="BJ55" s="60">
        <v>27.56705092</v>
      </c>
    </row>
    <row r="56" spans="1:62" ht="15.75" hidden="1">
      <c r="A56" s="79">
        <f>AT57</f>
        <v>2</v>
      </c>
      <c r="B56" s="96">
        <f>AT58</f>
        <v>3</v>
      </c>
      <c r="C56" s="79" t="s">
        <v>10</v>
      </c>
      <c r="D56" s="79">
        <f>AU57</f>
        <v>0</v>
      </c>
      <c r="E56" s="79"/>
      <c r="F56" s="79"/>
      <c r="G56" s="79"/>
      <c r="H56" s="79"/>
      <c r="I56" s="96">
        <f>AU58</f>
        <v>3</v>
      </c>
      <c r="J56" s="79" t="s">
        <v>10</v>
      </c>
      <c r="K56" s="96">
        <f>AV57</f>
        <v>2</v>
      </c>
      <c r="L56" s="96">
        <f>AV58</f>
        <v>0</v>
      </c>
      <c r="M56" s="96">
        <f>AV59</f>
        <v>1</v>
      </c>
      <c r="N56" s="96"/>
      <c r="O56" s="96"/>
      <c r="P56" s="96"/>
      <c r="Q56" s="96"/>
      <c r="R56" s="96">
        <f>AV60</f>
        <v>6</v>
      </c>
      <c r="S56" s="96"/>
      <c r="T56" s="96">
        <f>AM59</f>
        <v>0</v>
      </c>
      <c r="U56" s="207">
        <f>AM60</f>
        <v>8</v>
      </c>
      <c r="V56" s="96" t="s">
        <v>11</v>
      </c>
      <c r="W56" s="96"/>
      <c r="X56" s="96"/>
      <c r="Y56" s="96"/>
      <c r="Z56" s="96"/>
      <c r="AA56" s="97">
        <f>AN59</f>
        <v>5</v>
      </c>
      <c r="AB56" s="96">
        <f>AN60</f>
        <v>6</v>
      </c>
      <c r="AC56" s="96" t="s">
        <v>11</v>
      </c>
      <c r="AD56" s="96">
        <f>AS59</f>
        <v>4</v>
      </c>
      <c r="AE56" s="96">
        <f>AS60</f>
        <v>3.1076541871243535</v>
      </c>
      <c r="AF56" s="96"/>
      <c r="AG56" s="96"/>
      <c r="AH56" s="96"/>
      <c r="AI56" s="96"/>
      <c r="AK56" s="118">
        <f>AK55+AK53</f>
        <v>42452.3727219883</v>
      </c>
      <c r="AL56" s="91">
        <f>$AK56</f>
        <v>42452.3727219883</v>
      </c>
      <c r="AM56" s="98">
        <f>$AK56</f>
        <v>42452.3727219883</v>
      </c>
      <c r="AN56" s="99">
        <f>$AK56</f>
        <v>42452.3727219883</v>
      </c>
      <c r="AO56" s="99"/>
      <c r="AP56" s="99"/>
      <c r="AQ56" s="99"/>
      <c r="AR56" s="99"/>
      <c r="AT56" s="100">
        <f>DAY(AK56)</f>
        <v>23</v>
      </c>
      <c r="AU56" s="100">
        <f>MONTH(AK56)</f>
        <v>3</v>
      </c>
      <c r="AV56" s="101">
        <f>YEAR(AK56)</f>
        <v>2016</v>
      </c>
      <c r="AW56" s="102"/>
      <c r="AX56" s="102"/>
      <c r="AY56" s="102"/>
      <c r="AZ56" s="102"/>
      <c r="BA56" s="102"/>
    </row>
    <row r="57" spans="1:62" hidden="1">
      <c r="A57" s="119">
        <f>A56*10+B56+5</f>
        <v>28</v>
      </c>
      <c r="AL57" s="103"/>
      <c r="AT57" s="102">
        <f>ROUNDDOWN(AT56/10,0)</f>
        <v>2</v>
      </c>
      <c r="AU57" s="102">
        <f>ROUNDDOWN(AU56/10,0)</f>
        <v>0</v>
      </c>
      <c r="AV57" s="102">
        <f>ROUNDDOWN(AV56/1000,0)</f>
        <v>2</v>
      </c>
      <c r="AW57" s="102">
        <f>AV56-AV57*1000</f>
        <v>16</v>
      </c>
      <c r="AX57" s="102"/>
      <c r="AY57" s="102"/>
      <c r="AZ57" s="102"/>
      <c r="BA57" s="102"/>
    </row>
    <row r="58" spans="1:62" hidden="1">
      <c r="A58" s="266">
        <f>AK56</f>
        <v>42452.3727219883</v>
      </c>
      <c r="B58" s="266"/>
      <c r="C58" s="120"/>
      <c r="D58" s="120"/>
      <c r="E58" s="120"/>
      <c r="F58" s="120"/>
      <c r="G58" s="120"/>
      <c r="H58" s="120"/>
      <c r="I58" s="91">
        <f>AL63</f>
        <v>42481.903306988301</v>
      </c>
      <c r="J58" s="91">
        <f>AU63</f>
        <v>4</v>
      </c>
      <c r="T58" s="120"/>
      <c r="U58" s="199"/>
      <c r="AK58" s="106">
        <f>FLOOR(AK56,1)</f>
        <v>42452</v>
      </c>
      <c r="AL58" s="98"/>
      <c r="AM58" s="107" t="s">
        <v>13</v>
      </c>
      <c r="AN58" s="108" t="s">
        <v>14</v>
      </c>
      <c r="AO58" s="108"/>
      <c r="AP58" s="108"/>
      <c r="AQ58" s="108"/>
      <c r="AR58" s="108"/>
      <c r="AS58" s="108" t="s">
        <v>15</v>
      </c>
      <c r="AT58" s="109">
        <f>AT56-AT57*10</f>
        <v>3</v>
      </c>
      <c r="AU58" s="109">
        <f>AU56-AU57*10</f>
        <v>3</v>
      </c>
      <c r="AV58" s="102">
        <f>ROUNDDOWN(AW57/100,0)</f>
        <v>0</v>
      </c>
      <c r="AW58" s="102">
        <f>AW57-AV58*100</f>
        <v>16</v>
      </c>
      <c r="AX58" s="102"/>
      <c r="AY58" s="102"/>
      <c r="AZ58" s="102"/>
      <c r="BA58" s="102"/>
    </row>
    <row r="59" spans="1:62" hidden="1">
      <c r="AK59" s="106">
        <f>(AK56-AK58)/BB55/3600</f>
        <v>8.9453076817186457</v>
      </c>
      <c r="AL59" s="110">
        <f>FLOOR(AK59,1)</f>
        <v>8</v>
      </c>
      <c r="AM59" s="111">
        <f>ROUNDDOWN(AL59/10,0)</f>
        <v>0</v>
      </c>
      <c r="AN59" s="111">
        <f>ROUNDDOWN(AL60/10,0)</f>
        <v>5</v>
      </c>
      <c r="AO59" s="111"/>
      <c r="AP59" s="111"/>
      <c r="AQ59" s="111"/>
      <c r="AR59" s="111"/>
      <c r="AS59" s="111">
        <f>ROUNDDOWN(AK61/10,0)</f>
        <v>4</v>
      </c>
      <c r="AT59" s="102"/>
      <c r="AU59" s="102"/>
      <c r="AV59" s="102">
        <f>ROUNDDOWN(AW58/10,0)</f>
        <v>1</v>
      </c>
      <c r="AW59" s="102">
        <f>AW58-AV59*10</f>
        <v>6</v>
      </c>
      <c r="AX59" s="102"/>
      <c r="AY59" s="102"/>
      <c r="AZ59" s="102"/>
      <c r="BA59" s="102"/>
    </row>
    <row r="60" spans="1:62" hidden="1">
      <c r="A60" s="262">
        <f ca="1">TODAY()</f>
        <v>42432</v>
      </c>
      <c r="B60" s="262"/>
      <c r="I60" s="122">
        <f ca="1">A60-A58</f>
        <v>-20.372721988300327</v>
      </c>
      <c r="J60" s="121"/>
      <c r="K60" s="119" t="e">
        <f ca="1">CEILING(I60/V52,1)</f>
        <v>#NUM!</v>
      </c>
      <c r="L60" s="119"/>
      <c r="M60" s="121"/>
      <c r="N60" s="121"/>
      <c r="O60" s="121"/>
      <c r="P60" s="121"/>
      <c r="Q60" s="121"/>
      <c r="R60" s="263" t="e">
        <f ca="1">AK56+K60*V52</f>
        <v>#NUM!</v>
      </c>
      <c r="S60" s="263"/>
      <c r="T60" s="263"/>
      <c r="U60" s="263"/>
      <c r="V60" s="263"/>
      <c r="W60" s="123"/>
      <c r="X60" s="123"/>
      <c r="Y60" s="123"/>
      <c r="Z60" s="123"/>
      <c r="AA60" s="124"/>
      <c r="AK60" s="110">
        <f>(AK59-AL59)*60</f>
        <v>56.718460903118739</v>
      </c>
      <c r="AL60" s="110">
        <f>FLOOR(AK60,1)</f>
        <v>56</v>
      </c>
      <c r="AM60" s="111">
        <f>AL59-AM59*10</f>
        <v>8</v>
      </c>
      <c r="AN60" s="111">
        <f>AL60-AN59*10</f>
        <v>6</v>
      </c>
      <c r="AO60" s="111"/>
      <c r="AP60" s="111"/>
      <c r="AQ60" s="111"/>
      <c r="AR60" s="111"/>
      <c r="AS60" s="111">
        <f>AK61-AS59*10</f>
        <v>3.1076541871243535</v>
      </c>
      <c r="AT60" s="102"/>
      <c r="AU60" s="102"/>
      <c r="AV60" s="102">
        <f>ROUNDDOWN(AW59,0)</f>
        <v>6</v>
      </c>
      <c r="AW60" s="102"/>
      <c r="AX60" s="102"/>
      <c r="AY60" s="102"/>
      <c r="AZ60" s="102"/>
      <c r="BA60" s="102"/>
    </row>
    <row r="61" spans="1:62" hidden="1">
      <c r="AK61" s="112">
        <f>(AK60-AL60)*60</f>
        <v>43.107654187124353</v>
      </c>
      <c r="AT61" s="113" t="s">
        <v>16</v>
      </c>
      <c r="AU61" s="113" t="s">
        <v>14</v>
      </c>
      <c r="AV61" s="113" t="s">
        <v>17</v>
      </c>
    </row>
    <row r="62" spans="1:62" hidden="1">
      <c r="R62" s="70"/>
      <c r="S62" s="70"/>
      <c r="T62" s="60"/>
      <c r="U62" s="195"/>
      <c r="V62" s="60"/>
      <c r="W62" s="60"/>
      <c r="X62" s="60"/>
      <c r="Y62" s="60"/>
      <c r="Z62" s="60"/>
      <c r="AA62" s="59"/>
      <c r="AB62" s="60"/>
      <c r="AC62" s="70"/>
      <c r="AK62" s="125"/>
      <c r="AL62" s="57"/>
      <c r="AM62" s="57"/>
      <c r="AN62" s="57"/>
      <c r="AO62" s="57"/>
      <c r="AP62" s="57"/>
      <c r="AQ62" s="57"/>
      <c r="AR62" s="57"/>
      <c r="AS62" s="57"/>
      <c r="AT62" s="58"/>
      <c r="AU62" s="58"/>
      <c r="AV62" s="58"/>
      <c r="BB62" s="95">
        <v>1.15741E-5</v>
      </c>
    </row>
    <row r="63" spans="1:62" ht="15.75" hidden="1">
      <c r="A63" s="79">
        <f>AT64</f>
        <v>2</v>
      </c>
      <c r="B63" s="96">
        <f>AT65</f>
        <v>1</v>
      </c>
      <c r="C63" s="79" t="s">
        <v>10</v>
      </c>
      <c r="D63" s="79">
        <f>AU64</f>
        <v>0</v>
      </c>
      <c r="E63" s="79"/>
      <c r="F63" s="79"/>
      <c r="G63" s="79"/>
      <c r="H63" s="79"/>
      <c r="I63" s="96">
        <f>AU65</f>
        <v>4</v>
      </c>
      <c r="J63" s="79" t="s">
        <v>10</v>
      </c>
      <c r="K63" s="96">
        <f>AV64</f>
        <v>2</v>
      </c>
      <c r="L63" s="96">
        <f>AV65</f>
        <v>0</v>
      </c>
      <c r="M63" s="96">
        <f>AV66</f>
        <v>1</v>
      </c>
      <c r="N63" s="96"/>
      <c r="O63" s="96"/>
      <c r="P63" s="96"/>
      <c r="Q63" s="96"/>
      <c r="R63" s="96">
        <f>AV67</f>
        <v>6</v>
      </c>
      <c r="S63" s="96"/>
      <c r="T63" s="96">
        <f>AM66</f>
        <v>2</v>
      </c>
      <c r="U63" s="207">
        <f>AM67</f>
        <v>1</v>
      </c>
      <c r="V63" s="96" t="s">
        <v>11</v>
      </c>
      <c r="W63" s="96"/>
      <c r="X63" s="96"/>
      <c r="Y63" s="96"/>
      <c r="Z63" s="96"/>
      <c r="AA63" s="97">
        <f>AN66</f>
        <v>4</v>
      </c>
      <c r="AB63" s="96">
        <f>AN67</f>
        <v>0</v>
      </c>
      <c r="AC63" s="96" t="s">
        <v>11</v>
      </c>
      <c r="AD63" s="96">
        <f>AS66</f>
        <v>4</v>
      </c>
      <c r="AE63" s="96">
        <f>AS67</f>
        <v>5.5489671556009057</v>
      </c>
      <c r="AF63" s="96"/>
      <c r="AG63" s="96"/>
      <c r="AH63" s="96"/>
      <c r="AI63" s="96"/>
      <c r="AK63" s="118">
        <f>AK53+AK55+29.530585</f>
        <v>42481.903306988301</v>
      </c>
      <c r="AL63" s="91">
        <f>$AK63</f>
        <v>42481.903306988301</v>
      </c>
      <c r="AM63" s="98">
        <f>$AK63</f>
        <v>42481.903306988301</v>
      </c>
      <c r="AN63" s="99">
        <f>$AK63</f>
        <v>42481.903306988301</v>
      </c>
      <c r="AO63" s="99"/>
      <c r="AP63" s="99"/>
      <c r="AQ63" s="99"/>
      <c r="AR63" s="99"/>
      <c r="AT63" s="100">
        <f>DAY(AK63)</f>
        <v>21</v>
      </c>
      <c r="AU63" s="100">
        <f>MONTH(AK63)</f>
        <v>4</v>
      </c>
      <c r="AV63" s="101">
        <f>YEAR(AK63)</f>
        <v>2016</v>
      </c>
      <c r="AW63" s="102"/>
      <c r="AX63" s="102"/>
      <c r="AY63" s="102"/>
      <c r="AZ63" s="102"/>
      <c r="BA63" s="102"/>
    </row>
    <row r="64" spans="1:62" hidden="1">
      <c r="A64" s="119">
        <f>A63*10+B63+5</f>
        <v>26</v>
      </c>
      <c r="AL64" s="103"/>
      <c r="AT64" s="102">
        <f>ROUNDDOWN(AT63/10,0)</f>
        <v>2</v>
      </c>
      <c r="AU64" s="102">
        <f>ROUNDDOWN(AU63/10,0)</f>
        <v>0</v>
      </c>
      <c r="AV64" s="102">
        <f>ROUNDDOWN(AV63/1000,0)</f>
        <v>2</v>
      </c>
      <c r="AW64" s="102">
        <f>AV63-AV64*1000</f>
        <v>16</v>
      </c>
      <c r="AX64" s="102"/>
      <c r="AY64" s="102"/>
      <c r="AZ64" s="102"/>
      <c r="BA64" s="102"/>
    </row>
    <row r="65" spans="1:61" hidden="1">
      <c r="A65" s="276"/>
      <c r="B65" s="276"/>
      <c r="C65" s="276"/>
      <c r="S65" s="273">
        <f>AK63</f>
        <v>42481.903306988301</v>
      </c>
      <c r="T65" s="273"/>
      <c r="U65" s="273"/>
      <c r="V65" s="273"/>
      <c r="W65" s="273"/>
      <c r="X65" s="273"/>
      <c r="Y65" s="273"/>
      <c r="Z65" s="273"/>
      <c r="AA65" s="273"/>
      <c r="AB65" s="273"/>
      <c r="AK65" s="106">
        <f>FLOOR(AK63,1)</f>
        <v>42481</v>
      </c>
      <c r="AL65" s="98"/>
      <c r="AM65" s="107" t="s">
        <v>13</v>
      </c>
      <c r="AN65" s="108" t="s">
        <v>14</v>
      </c>
      <c r="AO65" s="108"/>
      <c r="AP65" s="108"/>
      <c r="AQ65" s="108"/>
      <c r="AR65" s="108"/>
      <c r="AS65" s="108" t="s">
        <v>15</v>
      </c>
      <c r="AT65" s="109">
        <f>AT63-AT64*10</f>
        <v>1</v>
      </c>
      <c r="AU65" s="109">
        <f>AU63-AU64*10</f>
        <v>4</v>
      </c>
      <c r="AV65" s="102">
        <f>ROUNDDOWN(AW64/100,0)</f>
        <v>0</v>
      </c>
      <c r="AW65" s="102">
        <f>AW64-AV65*100</f>
        <v>16</v>
      </c>
      <c r="AX65" s="102"/>
      <c r="AY65" s="102"/>
      <c r="AZ65" s="102"/>
      <c r="BA65" s="102"/>
    </row>
    <row r="66" spans="1:61" hidden="1">
      <c r="A66" s="126">
        <f>A1-1901</f>
        <v>115</v>
      </c>
      <c r="B66" s="127">
        <f>A66/3</f>
        <v>38.333333333333336</v>
      </c>
      <c r="C66" s="9">
        <f>FLOOR(B66,1)</f>
        <v>38</v>
      </c>
      <c r="D66" s="274">
        <f>B66-C66</f>
        <v>0.3333333333333357</v>
      </c>
      <c r="E66" s="274"/>
      <c r="F66" s="274"/>
      <c r="G66" s="274"/>
      <c r="H66" s="274"/>
      <c r="I66" s="274"/>
      <c r="J66" s="9" t="str">
        <f>IF(D66&gt;=0.65,"A",K66)</f>
        <v>C</v>
      </c>
      <c r="K66" s="9" t="str">
        <f>IF(D66=0,"B","C")</f>
        <v>C</v>
      </c>
      <c r="L66" s="9" t="s">
        <v>22</v>
      </c>
      <c r="AK66" s="106">
        <f>(AK63-AK65)/BB62/3600</f>
        <v>21.679319157543222</v>
      </c>
      <c r="AL66" s="110">
        <f>FLOOR(AK66,1)</f>
        <v>21</v>
      </c>
      <c r="AM66" s="111">
        <f>ROUNDDOWN(AL66/10,0)</f>
        <v>2</v>
      </c>
      <c r="AN66" s="111">
        <f>ROUNDDOWN(AL67/10,0)</f>
        <v>4</v>
      </c>
      <c r="AO66" s="111"/>
      <c r="AP66" s="111"/>
      <c r="AQ66" s="111"/>
      <c r="AR66" s="111"/>
      <c r="AS66" s="111">
        <f>ROUNDDOWN(AK68/10,0)</f>
        <v>4</v>
      </c>
      <c r="AT66" s="102"/>
      <c r="AU66" s="102"/>
      <c r="AV66" s="102">
        <f>ROUNDDOWN(AW65/10,0)</f>
        <v>1</v>
      </c>
      <c r="AW66" s="102">
        <f>AW65-AV66*10</f>
        <v>6</v>
      </c>
      <c r="AX66" s="102"/>
      <c r="AY66" s="102"/>
      <c r="AZ66" s="102"/>
      <c r="BA66" s="102"/>
    </row>
    <row r="67" spans="1:61" hidden="1">
      <c r="A67" s="126"/>
      <c r="B67" s="127">
        <f>A1/2</f>
        <v>1008</v>
      </c>
      <c r="C67" s="9">
        <f>FLOOR(B67,1)</f>
        <v>1008</v>
      </c>
      <c r="D67" s="274">
        <f>B67-C67</f>
        <v>0</v>
      </c>
      <c r="E67" s="274"/>
      <c r="F67" s="274"/>
      <c r="G67" s="274"/>
      <c r="H67" s="274"/>
      <c r="I67" s="274"/>
      <c r="J67" s="60" t="str">
        <f>IF(D67&gt;=0.2,"I","II")</f>
        <v>II</v>
      </c>
      <c r="AK67" s="110">
        <f>(AK66-AL66)*60</f>
        <v>40.759149452593348</v>
      </c>
      <c r="AL67" s="110">
        <f>FLOOR(AK67,1)</f>
        <v>40</v>
      </c>
      <c r="AM67" s="111">
        <f>AL66-AM66*10</f>
        <v>1</v>
      </c>
      <c r="AN67" s="111">
        <f>AL67-AN66*10</f>
        <v>0</v>
      </c>
      <c r="AO67" s="111"/>
      <c r="AP67" s="111"/>
      <c r="AQ67" s="111"/>
      <c r="AR67" s="111"/>
      <c r="AS67" s="111">
        <f>AK68-AS66*10</f>
        <v>5.5489671556009057</v>
      </c>
      <c r="AT67" s="102"/>
      <c r="AU67" s="102"/>
      <c r="AV67" s="102">
        <f>ROUNDDOWN(AW66,0)</f>
        <v>6</v>
      </c>
      <c r="AW67" s="102"/>
      <c r="AX67" s="102"/>
      <c r="AY67" s="102"/>
      <c r="AZ67" s="102"/>
      <c r="BA67" s="102"/>
    </row>
    <row r="68" spans="1:61" hidden="1">
      <c r="R68" s="70"/>
      <c r="S68" s="70"/>
      <c r="T68" s="60"/>
      <c r="U68" s="195"/>
      <c r="V68" s="60"/>
      <c r="W68" s="60"/>
      <c r="X68" s="60"/>
      <c r="Y68" s="60"/>
      <c r="Z68" s="60"/>
      <c r="AA68" s="59"/>
      <c r="AB68" s="60"/>
      <c r="AC68" s="70"/>
      <c r="AK68" s="112">
        <f>(AK67-AL67)*60</f>
        <v>45.548967155600906</v>
      </c>
      <c r="AT68" s="113" t="s">
        <v>16</v>
      </c>
      <c r="AU68" s="113" t="s">
        <v>14</v>
      </c>
      <c r="AV68" s="113" t="s">
        <v>17</v>
      </c>
    </row>
    <row r="69" spans="1:61" ht="15" hidden="1" customHeight="1">
      <c r="A69" s="79"/>
      <c r="D69" s="128"/>
      <c r="E69" s="128"/>
      <c r="F69" s="128"/>
      <c r="G69" s="128"/>
      <c r="H69" s="128"/>
      <c r="R69" s="70"/>
      <c r="S69" s="70"/>
      <c r="T69" s="60"/>
      <c r="U69" s="195"/>
      <c r="V69" s="60"/>
      <c r="W69" s="60"/>
      <c r="X69" s="60"/>
      <c r="Y69" s="60"/>
      <c r="Z69" s="60"/>
      <c r="AA69" s="59"/>
      <c r="AB69" s="60"/>
      <c r="AC69" s="70"/>
      <c r="AK69" s="125"/>
      <c r="AL69" s="57"/>
      <c r="AM69" s="57"/>
      <c r="AN69" s="57"/>
      <c r="AO69" s="57"/>
      <c r="AP69" s="57"/>
      <c r="AQ69" s="57"/>
      <c r="AR69" s="57"/>
      <c r="AS69" s="57"/>
      <c r="AT69" s="58"/>
      <c r="AU69" s="58"/>
      <c r="AV69" s="58"/>
    </row>
    <row r="70" spans="1:61" s="115" customFormat="1" ht="15">
      <c r="B70" s="20"/>
      <c r="C70" s="20"/>
      <c r="D70" s="20"/>
      <c r="E70" s="20"/>
      <c r="F70" s="20"/>
      <c r="G70" s="20"/>
      <c r="H70" s="20"/>
      <c r="I70" s="129"/>
      <c r="K70" s="20"/>
      <c r="L70" s="20"/>
      <c r="M70" s="20"/>
      <c r="N70" s="20"/>
      <c r="O70" s="20"/>
      <c r="P70" s="20"/>
      <c r="Q70" s="20"/>
      <c r="R70" s="130"/>
      <c r="T70" s="20"/>
      <c r="U70" s="208"/>
      <c r="V70" s="20"/>
      <c r="W70" s="20"/>
      <c r="X70" s="20"/>
      <c r="Y70" s="20"/>
      <c r="Z70" s="20"/>
      <c r="AA70" s="129"/>
      <c r="AC70" s="20"/>
      <c r="AD70" s="20"/>
      <c r="AE70" s="20"/>
      <c r="AF70" s="20"/>
      <c r="AG70" s="20"/>
      <c r="AH70" s="20"/>
      <c r="AI70" s="20"/>
      <c r="AJ70" s="74"/>
      <c r="AL70" s="20"/>
      <c r="AM70" s="20"/>
      <c r="AN70" s="20"/>
      <c r="AO70" s="20"/>
      <c r="AP70" s="20"/>
      <c r="AQ70" s="20"/>
      <c r="AR70" s="20"/>
      <c r="AS70" s="129"/>
      <c r="AU70" s="20"/>
      <c r="AV70" s="20"/>
      <c r="AW70" s="20"/>
      <c r="AX70" s="20"/>
      <c r="AY70" s="20"/>
      <c r="AZ70" s="20"/>
      <c r="BA70" s="20"/>
      <c r="BB70" s="130"/>
      <c r="BC70" s="130"/>
      <c r="BD70" s="74"/>
      <c r="BE70" s="129"/>
      <c r="BF70" s="129"/>
      <c r="BG70" s="129"/>
      <c r="BH70" s="130"/>
      <c r="BI70" s="130"/>
    </row>
    <row r="71" spans="1:61" ht="45" customHeight="1">
      <c r="A71" s="131" t="s">
        <v>23</v>
      </c>
      <c r="B71" s="131" t="s">
        <v>24</v>
      </c>
      <c r="C71" s="132" t="s">
        <v>25</v>
      </c>
      <c r="D71" s="277" t="s">
        <v>26</v>
      </c>
      <c r="E71" s="277"/>
      <c r="F71" s="277"/>
      <c r="G71" s="277"/>
      <c r="H71" s="277"/>
      <c r="I71" s="133"/>
      <c r="J71" s="131" t="s">
        <v>23</v>
      </c>
      <c r="K71" s="131" t="s">
        <v>24</v>
      </c>
      <c r="L71" s="131" t="s">
        <v>25</v>
      </c>
      <c r="M71" s="277" t="s">
        <v>27</v>
      </c>
      <c r="N71" s="277"/>
      <c r="O71" s="277"/>
      <c r="P71" s="277"/>
      <c r="Q71" s="277"/>
      <c r="R71" s="133"/>
      <c r="S71" s="131" t="s">
        <v>23</v>
      </c>
      <c r="T71" s="131" t="s">
        <v>24</v>
      </c>
      <c r="U71" s="209" t="s">
        <v>25</v>
      </c>
      <c r="V71" s="277" t="s">
        <v>28</v>
      </c>
      <c r="W71" s="277"/>
      <c r="X71" s="277"/>
      <c r="Y71" s="277"/>
      <c r="Z71" s="277"/>
      <c r="AA71" s="134"/>
      <c r="AB71" s="131" t="s">
        <v>23</v>
      </c>
      <c r="AC71" s="131" t="s">
        <v>24</v>
      </c>
      <c r="AD71" s="131" t="s">
        <v>25</v>
      </c>
      <c r="AE71" s="277" t="s">
        <v>29</v>
      </c>
      <c r="AF71" s="277"/>
      <c r="AG71" s="277"/>
      <c r="AH71" s="277"/>
      <c r="AI71" s="277"/>
      <c r="AJ71" s="133"/>
      <c r="AK71" s="131" t="s">
        <v>23</v>
      </c>
      <c r="AL71" s="131" t="s">
        <v>24</v>
      </c>
      <c r="AM71" s="131" t="s">
        <v>25</v>
      </c>
      <c r="AN71" s="277" t="s">
        <v>30</v>
      </c>
      <c r="AO71" s="277"/>
      <c r="AP71" s="277"/>
      <c r="AQ71" s="277"/>
      <c r="AR71" s="277"/>
      <c r="AS71" s="133"/>
      <c r="AT71" s="131" t="s">
        <v>23</v>
      </c>
      <c r="AU71" s="131" t="s">
        <v>24</v>
      </c>
      <c r="AV71" s="131" t="s">
        <v>25</v>
      </c>
      <c r="AW71" s="277" t="s">
        <v>31</v>
      </c>
      <c r="AX71" s="277"/>
      <c r="AY71" s="277"/>
      <c r="AZ71" s="277"/>
      <c r="BA71" s="277"/>
    </row>
    <row r="72" spans="1:61" ht="20.100000000000001" customHeight="1">
      <c r="A72" s="275">
        <v>53</v>
      </c>
      <c r="B72" s="135">
        <f>A8</f>
        <v>-3</v>
      </c>
      <c r="C72" s="136" t="s">
        <v>32</v>
      </c>
      <c r="D72" s="231"/>
      <c r="E72" s="232"/>
      <c r="F72" s="188"/>
      <c r="G72" s="232"/>
      <c r="H72" s="232"/>
      <c r="I72" s="137"/>
      <c r="J72" s="275">
        <v>5</v>
      </c>
      <c r="K72" s="138">
        <v>1</v>
      </c>
      <c r="L72" s="136" t="s">
        <v>32</v>
      </c>
      <c r="M72" s="252"/>
      <c r="N72" s="136"/>
      <c r="O72" s="136"/>
      <c r="P72" s="136"/>
      <c r="Q72" s="136"/>
      <c r="R72" s="137"/>
      <c r="S72" s="275">
        <v>9</v>
      </c>
      <c r="T72" s="218"/>
      <c r="U72" s="189" t="s">
        <v>32</v>
      </c>
      <c r="V72" s="136"/>
      <c r="W72" s="136"/>
      <c r="X72" s="136"/>
      <c r="Y72" s="136"/>
      <c r="Z72" s="136"/>
      <c r="AA72" s="139"/>
      <c r="AB72" s="275">
        <v>13</v>
      </c>
      <c r="AC72" s="135"/>
      <c r="AD72" s="136" t="s">
        <v>32</v>
      </c>
      <c r="AE72" s="136"/>
      <c r="AF72" s="136"/>
      <c r="AG72" s="136"/>
      <c r="AH72" s="136"/>
      <c r="AI72" s="136"/>
      <c r="AJ72" s="137"/>
      <c r="AK72" s="275">
        <v>17</v>
      </c>
      <c r="AL72" s="218">
        <f>AT9</f>
        <v>-5</v>
      </c>
      <c r="AM72" s="136" t="s">
        <v>32</v>
      </c>
      <c r="AN72" s="136"/>
      <c r="AO72" s="136"/>
      <c r="AP72" s="136"/>
      <c r="AQ72" s="136"/>
      <c r="AR72" s="136"/>
      <c r="AS72" s="137"/>
      <c r="AT72" s="275">
        <v>22</v>
      </c>
      <c r="AU72" s="135"/>
      <c r="AV72" s="136" t="s">
        <v>32</v>
      </c>
      <c r="AW72" s="136"/>
      <c r="AX72" s="136"/>
      <c r="AY72" s="136"/>
      <c r="AZ72" s="136"/>
      <c r="BA72" s="136"/>
    </row>
    <row r="73" spans="1:61" ht="20.100000000000001" customHeight="1">
      <c r="A73" s="275"/>
      <c r="B73" s="135"/>
      <c r="C73" s="136" t="s">
        <v>33</v>
      </c>
      <c r="D73" s="136"/>
      <c r="E73" s="136"/>
      <c r="F73" s="136"/>
      <c r="G73" s="136"/>
      <c r="H73" s="136"/>
      <c r="I73" s="137"/>
      <c r="J73" s="275"/>
      <c r="K73" s="138">
        <v>2</v>
      </c>
      <c r="L73" s="136" t="s">
        <v>33</v>
      </c>
      <c r="M73" s="136"/>
      <c r="N73" s="136"/>
      <c r="O73" s="136"/>
      <c r="P73" s="136"/>
      <c r="Q73" s="136"/>
      <c r="R73" s="137"/>
      <c r="S73" s="275"/>
      <c r="T73" s="138">
        <v>1</v>
      </c>
      <c r="U73" s="189" t="s">
        <v>33</v>
      </c>
      <c r="V73" s="136"/>
      <c r="W73" s="136"/>
      <c r="X73" s="136"/>
      <c r="Y73" s="136"/>
      <c r="Z73" s="136"/>
      <c r="AA73" s="139"/>
      <c r="AB73" s="275"/>
      <c r="AC73" s="138"/>
      <c r="AD73" s="136" t="s">
        <v>33</v>
      </c>
      <c r="AE73" s="136"/>
      <c r="AF73" s="136"/>
      <c r="AG73" s="136"/>
      <c r="AH73" s="136"/>
      <c r="AI73" s="136"/>
      <c r="AJ73" s="137"/>
      <c r="AK73" s="275"/>
      <c r="AL73" s="135"/>
      <c r="AM73" s="136" t="s">
        <v>33</v>
      </c>
      <c r="AN73" s="136"/>
      <c r="AO73" s="136"/>
      <c r="AP73" s="136"/>
      <c r="AQ73" s="136"/>
      <c r="AR73" s="136"/>
      <c r="AS73" s="137"/>
      <c r="AT73" s="275"/>
      <c r="AU73" s="138"/>
      <c r="AV73" s="136" t="s">
        <v>33</v>
      </c>
      <c r="AW73" s="136"/>
      <c r="AX73" s="136"/>
      <c r="AY73" s="136"/>
      <c r="AZ73" s="136"/>
      <c r="BA73" s="136"/>
    </row>
    <row r="74" spans="1:61" ht="20.100000000000001" customHeight="1">
      <c r="A74" s="275"/>
      <c r="B74" s="135"/>
      <c r="C74" s="136" t="s">
        <v>34</v>
      </c>
      <c r="D74" s="136"/>
      <c r="E74" s="136"/>
      <c r="F74" s="136"/>
      <c r="G74" s="136"/>
      <c r="H74" s="136"/>
      <c r="I74" s="137"/>
      <c r="J74" s="275"/>
      <c r="K74" s="138">
        <v>3</v>
      </c>
      <c r="L74" s="136" t="s">
        <v>34</v>
      </c>
      <c r="M74" s="136"/>
      <c r="N74" s="136"/>
      <c r="O74" s="136"/>
      <c r="P74" s="136"/>
      <c r="Q74" s="136"/>
      <c r="R74" s="137"/>
      <c r="S74" s="275"/>
      <c r="T74" s="138">
        <v>2</v>
      </c>
      <c r="U74" s="189" t="s">
        <v>34</v>
      </c>
      <c r="V74" s="136"/>
      <c r="W74" s="136"/>
      <c r="X74" s="136"/>
      <c r="Y74" s="136"/>
      <c r="Z74" s="136"/>
      <c r="AA74" s="139"/>
      <c r="AB74" s="275"/>
      <c r="AC74" s="138"/>
      <c r="AD74" s="136" t="s">
        <v>34</v>
      </c>
      <c r="AE74" s="136"/>
      <c r="AF74" s="136"/>
      <c r="AG74" s="136"/>
      <c r="AH74" s="136"/>
      <c r="AI74" s="136"/>
      <c r="AJ74" s="137"/>
      <c r="AK74" s="275"/>
      <c r="AL74" s="135"/>
      <c r="AM74" s="136" t="s">
        <v>34</v>
      </c>
      <c r="AN74" s="136"/>
      <c r="AO74" s="136"/>
      <c r="AP74" s="136"/>
      <c r="AQ74" s="136"/>
      <c r="AR74" s="136"/>
      <c r="AS74" s="137"/>
      <c r="AT74" s="275"/>
      <c r="AU74" s="135">
        <v>1</v>
      </c>
      <c r="AV74" s="136" t="s">
        <v>34</v>
      </c>
      <c r="AW74" s="252"/>
      <c r="AX74" s="254"/>
      <c r="AY74" s="136"/>
      <c r="AZ74" s="136"/>
      <c r="BA74" s="136"/>
    </row>
    <row r="75" spans="1:61" ht="20.100000000000001" customHeight="1">
      <c r="A75" s="275"/>
      <c r="B75" s="135"/>
      <c r="C75" s="136" t="s">
        <v>35</v>
      </c>
      <c r="D75" s="136"/>
      <c r="E75" s="136"/>
      <c r="F75" s="136"/>
      <c r="G75" s="136"/>
      <c r="H75" s="136"/>
      <c r="I75" s="137"/>
      <c r="J75" s="275"/>
      <c r="K75" s="138">
        <v>4</v>
      </c>
      <c r="L75" s="136" t="s">
        <v>35</v>
      </c>
      <c r="M75" s="136"/>
      <c r="N75" s="136"/>
      <c r="O75" s="136"/>
      <c r="P75" s="136"/>
      <c r="Q75" s="136"/>
      <c r="R75" s="137"/>
      <c r="S75" s="275"/>
      <c r="T75" s="138">
        <v>3</v>
      </c>
      <c r="U75" s="189" t="s">
        <v>35</v>
      </c>
      <c r="V75" s="136"/>
      <c r="W75" s="136"/>
      <c r="X75" s="136"/>
      <c r="Y75" s="136"/>
      <c r="Z75" s="136"/>
      <c r="AA75" s="139"/>
      <c r="AB75" s="275"/>
      <c r="AC75" s="138"/>
      <c r="AD75" s="136" t="s">
        <v>35</v>
      </c>
      <c r="AE75" s="136"/>
      <c r="AF75" s="136"/>
      <c r="AG75" s="136"/>
      <c r="AH75" s="136"/>
      <c r="AI75" s="136"/>
      <c r="AJ75" s="137"/>
      <c r="AK75" s="275"/>
      <c r="AL75" s="238"/>
      <c r="AM75" s="136" t="s">
        <v>35</v>
      </c>
      <c r="AN75" s="136"/>
      <c r="AO75" s="136"/>
      <c r="AP75" s="136"/>
      <c r="AQ75" s="136"/>
      <c r="AR75" s="136"/>
      <c r="AS75" s="137"/>
      <c r="AT75" s="275"/>
      <c r="AU75" s="138">
        <v>2</v>
      </c>
      <c r="AV75" s="136" t="s">
        <v>35</v>
      </c>
      <c r="AW75" s="136"/>
      <c r="AX75" s="136"/>
      <c r="AY75" s="136"/>
      <c r="AZ75" s="136"/>
      <c r="BA75" s="136"/>
    </row>
    <row r="76" spans="1:61" ht="20.100000000000001" customHeight="1">
      <c r="A76" s="275"/>
      <c r="B76" s="135">
        <v>1</v>
      </c>
      <c r="C76" s="136" t="s">
        <v>36</v>
      </c>
      <c r="D76" s="188"/>
      <c r="E76" s="188"/>
      <c r="F76" s="188"/>
      <c r="G76" s="188"/>
      <c r="H76" s="188"/>
      <c r="I76" s="137"/>
      <c r="J76" s="275"/>
      <c r="K76" s="138">
        <v>5</v>
      </c>
      <c r="L76" s="136" t="s">
        <v>36</v>
      </c>
      <c r="M76" s="136"/>
      <c r="N76" s="136"/>
      <c r="O76" s="136"/>
      <c r="P76" s="136"/>
      <c r="Q76" s="136"/>
      <c r="R76" s="137"/>
      <c r="S76" s="275"/>
      <c r="T76" s="138">
        <v>4</v>
      </c>
      <c r="U76" s="189" t="s">
        <v>36</v>
      </c>
      <c r="V76" s="188"/>
      <c r="W76" s="136"/>
      <c r="X76" s="136"/>
      <c r="Y76" s="136"/>
      <c r="Z76" s="136"/>
      <c r="AA76" s="139"/>
      <c r="AB76" s="275"/>
      <c r="AC76" s="138">
        <v>1</v>
      </c>
      <c r="AD76" s="136" t="s">
        <v>36</v>
      </c>
      <c r="AE76" s="188"/>
      <c r="AF76" s="188"/>
      <c r="AG76" s="188"/>
      <c r="AH76" s="188"/>
      <c r="AI76" s="188"/>
      <c r="AJ76" s="137"/>
      <c r="AK76" s="275"/>
      <c r="AL76" s="135"/>
      <c r="AM76" s="136" t="s">
        <v>36</v>
      </c>
      <c r="AN76" s="188"/>
      <c r="AO76" s="188"/>
      <c r="AP76" s="188"/>
      <c r="AQ76" s="188"/>
      <c r="AR76" s="188"/>
      <c r="AS76" s="137"/>
      <c r="AT76" s="275"/>
      <c r="AU76" s="135">
        <v>3</v>
      </c>
      <c r="AV76" s="136" t="s">
        <v>36</v>
      </c>
      <c r="AW76" s="136"/>
      <c r="AX76" s="136"/>
      <c r="AY76" s="136"/>
      <c r="AZ76" s="136"/>
      <c r="BA76" s="136"/>
    </row>
    <row r="77" spans="1:61" ht="20.100000000000001" customHeight="1">
      <c r="A77" s="275"/>
      <c r="B77" s="135">
        <v>2</v>
      </c>
      <c r="C77" s="141" t="s">
        <v>37</v>
      </c>
      <c r="D77" s="141"/>
      <c r="E77" s="141"/>
      <c r="F77" s="141"/>
      <c r="G77" s="141"/>
      <c r="H77" s="141"/>
      <c r="I77" s="137"/>
      <c r="J77" s="275"/>
      <c r="K77" s="138">
        <v>6</v>
      </c>
      <c r="L77" s="141" t="s">
        <v>37</v>
      </c>
      <c r="M77" s="141"/>
      <c r="N77" s="141"/>
      <c r="O77" s="141"/>
      <c r="P77" s="141"/>
      <c r="Q77" s="141"/>
      <c r="R77" s="137"/>
      <c r="S77" s="275"/>
      <c r="T77" s="138">
        <v>5</v>
      </c>
      <c r="U77" s="141" t="s">
        <v>37</v>
      </c>
      <c r="V77" s="141"/>
      <c r="W77" s="141"/>
      <c r="X77" s="141"/>
      <c r="Y77" s="141"/>
      <c r="Z77" s="141"/>
      <c r="AA77" s="139"/>
      <c r="AB77" s="275"/>
      <c r="AC77" s="138">
        <v>2</v>
      </c>
      <c r="AD77" s="141" t="s">
        <v>37</v>
      </c>
      <c r="AE77" s="141"/>
      <c r="AF77" s="141"/>
      <c r="AG77" s="141"/>
      <c r="AH77" s="141"/>
      <c r="AI77" s="141"/>
      <c r="AJ77" s="137"/>
      <c r="AK77" s="275"/>
      <c r="AL77" s="135"/>
      <c r="AM77" s="141" t="s">
        <v>37</v>
      </c>
      <c r="AN77" s="141"/>
      <c r="AO77" s="141"/>
      <c r="AP77" s="141"/>
      <c r="AQ77" s="141"/>
      <c r="AR77" s="141"/>
      <c r="AS77" s="137"/>
      <c r="AT77" s="275"/>
      <c r="AU77" s="138">
        <v>4</v>
      </c>
      <c r="AV77" s="141" t="s">
        <v>37</v>
      </c>
      <c r="AW77" s="141"/>
      <c r="AX77" s="141"/>
      <c r="AY77" s="141"/>
      <c r="AZ77" s="141"/>
      <c r="BA77" s="141"/>
    </row>
    <row r="78" spans="1:61" ht="20.100000000000001" customHeight="1">
      <c r="A78" s="275"/>
      <c r="B78" s="135">
        <v>3</v>
      </c>
      <c r="C78" s="143" t="s">
        <v>38</v>
      </c>
      <c r="D78" s="143"/>
      <c r="E78" s="143"/>
      <c r="F78" s="143"/>
      <c r="G78" s="143"/>
      <c r="H78" s="143"/>
      <c r="I78" s="137"/>
      <c r="J78" s="275"/>
      <c r="K78" s="138">
        <v>7</v>
      </c>
      <c r="L78" s="143" t="s">
        <v>38</v>
      </c>
      <c r="M78" s="143"/>
      <c r="N78" s="143"/>
      <c r="O78" s="143"/>
      <c r="P78" s="143"/>
      <c r="Q78" s="143"/>
      <c r="R78" s="137"/>
      <c r="S78" s="275"/>
      <c r="T78" s="138">
        <v>6</v>
      </c>
      <c r="U78" s="143" t="s">
        <v>38</v>
      </c>
      <c r="V78" s="143"/>
      <c r="W78" s="143"/>
      <c r="X78" s="143"/>
      <c r="Y78" s="143"/>
      <c r="Z78" s="143"/>
      <c r="AA78" s="139"/>
      <c r="AB78" s="275"/>
      <c r="AC78" s="135">
        <v>3</v>
      </c>
      <c r="AD78" s="143" t="s">
        <v>38</v>
      </c>
      <c r="AE78" s="143"/>
      <c r="AF78" s="143"/>
      <c r="AG78" s="143"/>
      <c r="AH78" s="143"/>
      <c r="AI78" s="143"/>
      <c r="AJ78" s="142"/>
      <c r="AK78" s="275"/>
      <c r="AL78" s="233">
        <v>1</v>
      </c>
      <c r="AM78" s="143" t="s">
        <v>38</v>
      </c>
      <c r="AN78" s="143"/>
      <c r="AO78" s="143"/>
      <c r="AP78" s="143"/>
      <c r="AQ78" s="143"/>
      <c r="AR78" s="143"/>
      <c r="AS78" s="137"/>
      <c r="AT78" s="275"/>
      <c r="AU78" s="135">
        <v>5</v>
      </c>
      <c r="AV78" s="143" t="s">
        <v>38</v>
      </c>
      <c r="AW78" s="143"/>
      <c r="AX78" s="143"/>
      <c r="AY78" s="143"/>
      <c r="AZ78" s="143"/>
      <c r="BA78" s="143"/>
    </row>
    <row r="79" spans="1:61" ht="20.100000000000001" customHeight="1">
      <c r="A79" s="275">
        <v>1</v>
      </c>
      <c r="B79" s="135">
        <v>4</v>
      </c>
      <c r="C79" s="136" t="s">
        <v>32</v>
      </c>
      <c r="D79" s="136"/>
      <c r="E79" s="136"/>
      <c r="F79" s="136"/>
      <c r="G79" s="136"/>
      <c r="H79" s="136"/>
      <c r="I79" s="137"/>
      <c r="J79" s="275">
        <v>6</v>
      </c>
      <c r="K79" s="138">
        <v>8</v>
      </c>
      <c r="L79" s="136" t="s">
        <v>32</v>
      </c>
      <c r="M79" s="188"/>
      <c r="N79" s="188"/>
      <c r="O79" s="188"/>
      <c r="P79" s="188"/>
      <c r="Q79" s="188"/>
      <c r="R79" s="137"/>
      <c r="S79" s="275">
        <v>10</v>
      </c>
      <c r="T79" s="138">
        <v>7</v>
      </c>
      <c r="U79" s="189" t="s">
        <v>32</v>
      </c>
      <c r="V79" s="188"/>
      <c r="W79" s="188"/>
      <c r="X79" s="188"/>
      <c r="Y79" s="188"/>
      <c r="Z79" s="188"/>
      <c r="AA79" s="139"/>
      <c r="AB79" s="275">
        <v>14</v>
      </c>
      <c r="AC79" s="138">
        <v>4</v>
      </c>
      <c r="AD79" s="136" t="s">
        <v>32</v>
      </c>
      <c r="AE79" s="252"/>
      <c r="AF79" s="136"/>
      <c r="AG79" s="136"/>
      <c r="AH79" s="136"/>
      <c r="AI79" s="136"/>
      <c r="AJ79" s="137"/>
      <c r="AK79" s="275">
        <v>18</v>
      </c>
      <c r="AL79" s="135">
        <v>2</v>
      </c>
      <c r="AM79" s="136" t="s">
        <v>32</v>
      </c>
      <c r="AN79" s="136"/>
      <c r="AO79" s="136"/>
      <c r="AP79" s="136"/>
      <c r="AQ79" s="136"/>
      <c r="AR79" s="136"/>
      <c r="AS79" s="137"/>
      <c r="AT79" s="275">
        <v>23</v>
      </c>
      <c r="AU79" s="138">
        <v>6</v>
      </c>
      <c r="AV79" s="136" t="s">
        <v>32</v>
      </c>
      <c r="AW79" s="136"/>
      <c r="AX79" s="136"/>
      <c r="AY79" s="136"/>
      <c r="AZ79" s="136"/>
      <c r="BA79" s="136"/>
    </row>
    <row r="80" spans="1:61" ht="20.100000000000001" customHeight="1">
      <c r="A80" s="275"/>
      <c r="B80" s="135">
        <v>5</v>
      </c>
      <c r="C80" s="136" t="s">
        <v>33</v>
      </c>
      <c r="D80" s="136"/>
      <c r="E80" s="136"/>
      <c r="F80" s="136"/>
      <c r="G80" s="136"/>
      <c r="H80" s="136"/>
      <c r="I80" s="137"/>
      <c r="J80" s="275"/>
      <c r="K80" s="138">
        <v>9</v>
      </c>
      <c r="L80" s="136" t="s">
        <v>33</v>
      </c>
      <c r="M80" s="136"/>
      <c r="N80" s="136"/>
      <c r="O80" s="136"/>
      <c r="P80" s="136"/>
      <c r="Q80" s="136"/>
      <c r="R80" s="137"/>
      <c r="S80" s="275"/>
      <c r="T80" s="138">
        <v>8</v>
      </c>
      <c r="U80" s="189" t="s">
        <v>33</v>
      </c>
      <c r="V80" s="136"/>
      <c r="W80" s="136"/>
      <c r="X80" s="253"/>
      <c r="Y80" s="136"/>
      <c r="Z80" s="136"/>
      <c r="AA80" s="139"/>
      <c r="AB80" s="275"/>
      <c r="AC80" s="138">
        <v>5</v>
      </c>
      <c r="AD80" s="136" t="s">
        <v>33</v>
      </c>
      <c r="AE80" s="136"/>
      <c r="AF80" s="136"/>
      <c r="AG80" s="136"/>
      <c r="AH80" s="136"/>
      <c r="AI80" s="136"/>
      <c r="AJ80" s="137"/>
      <c r="AK80" s="275"/>
      <c r="AL80" s="135">
        <v>3</v>
      </c>
      <c r="AM80" s="136" t="s">
        <v>33</v>
      </c>
      <c r="AN80" s="136"/>
      <c r="AO80" s="136"/>
      <c r="AP80" s="136"/>
      <c r="AQ80" s="136"/>
      <c r="AR80" s="136"/>
      <c r="AS80" s="137"/>
      <c r="AT80" s="275"/>
      <c r="AU80" s="135">
        <v>7</v>
      </c>
      <c r="AV80" s="136" t="s">
        <v>33</v>
      </c>
      <c r="AW80" s="136"/>
      <c r="AX80" s="136"/>
      <c r="AY80" s="136"/>
      <c r="AZ80" s="136"/>
      <c r="BA80" s="136"/>
    </row>
    <row r="81" spans="1:64" ht="20.100000000000001" customHeight="1">
      <c r="A81" s="275"/>
      <c r="B81" s="135">
        <v>6</v>
      </c>
      <c r="C81" s="136" t="s">
        <v>34</v>
      </c>
      <c r="D81" s="136"/>
      <c r="E81" s="136"/>
      <c r="F81" s="136"/>
      <c r="G81" s="136"/>
      <c r="H81" s="136"/>
      <c r="I81" s="137"/>
      <c r="J81" s="275"/>
      <c r="K81" s="138">
        <v>10</v>
      </c>
      <c r="L81" s="136" t="s">
        <v>34</v>
      </c>
      <c r="M81" s="254"/>
      <c r="N81" s="136"/>
      <c r="O81" s="136"/>
      <c r="P81" s="136"/>
      <c r="Q81" s="136"/>
      <c r="R81" s="137"/>
      <c r="S81" s="275"/>
      <c r="T81" s="138">
        <v>9</v>
      </c>
      <c r="U81" s="189" t="s">
        <v>34</v>
      </c>
      <c r="V81" s="254"/>
      <c r="W81" s="136"/>
      <c r="X81" s="136"/>
      <c r="Y81" s="136"/>
      <c r="Z81" s="136"/>
      <c r="AA81" s="139"/>
      <c r="AB81" s="275"/>
      <c r="AC81" s="135">
        <v>6</v>
      </c>
      <c r="AD81" s="136" t="s">
        <v>34</v>
      </c>
      <c r="AE81" s="254"/>
      <c r="AF81" s="136"/>
      <c r="AG81" s="136"/>
      <c r="AH81" s="136"/>
      <c r="AI81" s="136"/>
      <c r="AJ81" s="137"/>
      <c r="AK81" s="275"/>
      <c r="AL81" s="135">
        <v>4</v>
      </c>
      <c r="AM81" s="136" t="s">
        <v>34</v>
      </c>
      <c r="AN81" s="254"/>
      <c r="AO81" s="136"/>
      <c r="AP81" s="136"/>
      <c r="AQ81" s="136"/>
      <c r="AR81" s="136"/>
      <c r="AS81" s="137"/>
      <c r="AT81" s="275"/>
      <c r="AU81" s="138">
        <v>8</v>
      </c>
      <c r="AV81" s="136" t="s">
        <v>34</v>
      </c>
      <c r="AW81" s="136"/>
      <c r="AX81" s="136"/>
      <c r="AY81" s="136"/>
      <c r="AZ81" s="136"/>
      <c r="BA81" s="136"/>
    </row>
    <row r="82" spans="1:64" ht="20.100000000000001" customHeight="1">
      <c r="A82" s="275"/>
      <c r="B82" s="135">
        <v>7</v>
      </c>
      <c r="C82" s="136" t="s">
        <v>35</v>
      </c>
      <c r="D82" s="136"/>
      <c r="E82" s="136"/>
      <c r="F82" s="136"/>
      <c r="G82" s="136"/>
      <c r="H82" s="136"/>
      <c r="I82" s="137"/>
      <c r="J82" s="275"/>
      <c r="K82" s="138">
        <v>11</v>
      </c>
      <c r="L82" s="136" t="s">
        <v>35</v>
      </c>
      <c r="M82" s="136"/>
      <c r="N82" s="188"/>
      <c r="O82" s="136"/>
      <c r="P82" s="136"/>
      <c r="Q82" s="136"/>
      <c r="R82" s="137"/>
      <c r="S82" s="275"/>
      <c r="T82" s="138">
        <v>10</v>
      </c>
      <c r="U82" s="189" t="s">
        <v>35</v>
      </c>
      <c r="V82" s="136"/>
      <c r="W82" s="136"/>
      <c r="X82" s="136"/>
      <c r="Y82" s="136"/>
      <c r="Z82" s="136"/>
      <c r="AA82" s="139"/>
      <c r="AB82" s="275"/>
      <c r="AC82" s="138">
        <v>7</v>
      </c>
      <c r="AD82" s="136" t="s">
        <v>35</v>
      </c>
      <c r="AE82" s="136"/>
      <c r="AF82" s="136"/>
      <c r="AG82" s="136"/>
      <c r="AH82" s="136"/>
      <c r="AI82" s="136"/>
      <c r="AJ82" s="137"/>
      <c r="AK82" s="275"/>
      <c r="AL82" s="135">
        <v>5</v>
      </c>
      <c r="AM82" s="136" t="s">
        <v>35</v>
      </c>
      <c r="AN82" s="136"/>
      <c r="AO82" s="136"/>
      <c r="AP82" s="136"/>
      <c r="AQ82" s="136"/>
      <c r="AR82" s="136"/>
      <c r="AS82" s="137"/>
      <c r="AT82" s="275"/>
      <c r="AU82" s="135">
        <v>9</v>
      </c>
      <c r="AV82" s="136" t="s">
        <v>35</v>
      </c>
      <c r="AW82" s="136"/>
      <c r="AX82" s="136"/>
      <c r="AY82" s="136"/>
      <c r="AZ82" s="136"/>
      <c r="BA82" s="136"/>
    </row>
    <row r="83" spans="1:64" ht="20.100000000000001" customHeight="1">
      <c r="A83" s="275"/>
      <c r="B83" s="135">
        <v>8</v>
      </c>
      <c r="C83" s="136" t="s">
        <v>36</v>
      </c>
      <c r="D83" s="136"/>
      <c r="E83" s="136"/>
      <c r="F83" s="136"/>
      <c r="G83" s="136"/>
      <c r="H83" s="136"/>
      <c r="I83" s="137"/>
      <c r="J83" s="275"/>
      <c r="K83" s="138">
        <v>12</v>
      </c>
      <c r="L83" s="136" t="s">
        <v>36</v>
      </c>
      <c r="M83" s="136"/>
      <c r="N83" s="136"/>
      <c r="O83" s="136"/>
      <c r="P83" s="136"/>
      <c r="Q83" s="136"/>
      <c r="R83" s="137"/>
      <c r="S83" s="275"/>
      <c r="T83" s="138">
        <v>11</v>
      </c>
      <c r="U83" s="189" t="s">
        <v>36</v>
      </c>
      <c r="V83" s="136"/>
      <c r="W83" s="136"/>
      <c r="X83" s="136"/>
      <c r="Y83" s="136"/>
      <c r="Z83" s="136"/>
      <c r="AA83" s="139"/>
      <c r="AB83" s="275"/>
      <c r="AC83" s="138">
        <v>8</v>
      </c>
      <c r="AD83" s="136" t="s">
        <v>36</v>
      </c>
      <c r="AE83" s="136"/>
      <c r="AF83" s="136"/>
      <c r="AG83" s="136"/>
      <c r="AH83" s="136"/>
      <c r="AI83" s="136"/>
      <c r="AJ83" s="137"/>
      <c r="AK83" s="275"/>
      <c r="AL83" s="135">
        <v>6</v>
      </c>
      <c r="AM83" s="136" t="s">
        <v>36</v>
      </c>
      <c r="AN83" s="136"/>
      <c r="AO83" s="136"/>
      <c r="AP83" s="136"/>
      <c r="AQ83" s="136"/>
      <c r="AR83" s="136"/>
      <c r="AS83" s="137"/>
      <c r="AT83" s="275"/>
      <c r="AU83" s="138">
        <v>10</v>
      </c>
      <c r="AV83" s="136" t="s">
        <v>36</v>
      </c>
      <c r="AW83" s="188"/>
      <c r="AX83" s="188"/>
      <c r="AY83" s="188"/>
      <c r="AZ83" s="188"/>
      <c r="BA83" s="188"/>
    </row>
    <row r="84" spans="1:64" ht="20.100000000000001" customHeight="1">
      <c r="A84" s="275"/>
      <c r="B84" s="135">
        <v>9</v>
      </c>
      <c r="C84" s="141" t="s">
        <v>37</v>
      </c>
      <c r="D84" s="141"/>
      <c r="E84" s="141"/>
      <c r="F84" s="141"/>
      <c r="G84" s="141"/>
      <c r="H84" s="141"/>
      <c r="I84" s="137"/>
      <c r="J84" s="275"/>
      <c r="K84" s="138">
        <v>13</v>
      </c>
      <c r="L84" s="141" t="s">
        <v>37</v>
      </c>
      <c r="M84" s="141"/>
      <c r="N84" s="141"/>
      <c r="O84" s="141"/>
      <c r="P84" s="141"/>
      <c r="Q84" s="141"/>
      <c r="R84" s="137"/>
      <c r="S84" s="275"/>
      <c r="T84" s="138">
        <v>12</v>
      </c>
      <c r="U84" s="141" t="s">
        <v>37</v>
      </c>
      <c r="V84" s="141"/>
      <c r="W84" s="141"/>
      <c r="X84" s="141"/>
      <c r="Y84" s="141"/>
      <c r="Z84" s="141"/>
      <c r="AA84" s="139"/>
      <c r="AB84" s="275"/>
      <c r="AC84" s="138">
        <v>9</v>
      </c>
      <c r="AD84" s="141" t="s">
        <v>37</v>
      </c>
      <c r="AE84" s="141"/>
      <c r="AF84" s="141"/>
      <c r="AG84" s="141"/>
      <c r="AH84" s="141"/>
      <c r="AI84" s="141"/>
      <c r="AJ84" s="137"/>
      <c r="AK84" s="275"/>
      <c r="AL84" s="135">
        <v>7</v>
      </c>
      <c r="AM84" s="141" t="s">
        <v>37</v>
      </c>
      <c r="AN84" s="141"/>
      <c r="AO84" s="141"/>
      <c r="AP84" s="141"/>
      <c r="AQ84" s="141"/>
      <c r="AR84" s="141"/>
      <c r="AS84" s="137"/>
      <c r="AT84" s="275"/>
      <c r="AU84" s="135">
        <v>11</v>
      </c>
      <c r="AV84" s="141" t="s">
        <v>37</v>
      </c>
      <c r="AW84" s="141"/>
      <c r="AX84" s="141"/>
      <c r="AY84" s="141"/>
      <c r="AZ84" s="141"/>
      <c r="BA84" s="141"/>
    </row>
    <row r="85" spans="1:64" ht="20.100000000000001" customHeight="1">
      <c r="A85" s="275"/>
      <c r="B85" s="135">
        <v>10</v>
      </c>
      <c r="C85" s="143" t="s">
        <v>38</v>
      </c>
      <c r="D85" s="143"/>
      <c r="E85" s="143"/>
      <c r="F85" s="143"/>
      <c r="G85" s="143"/>
      <c r="H85" s="143"/>
      <c r="I85" s="137"/>
      <c r="J85" s="275"/>
      <c r="K85" s="138">
        <v>14</v>
      </c>
      <c r="L85" s="143" t="s">
        <v>38</v>
      </c>
      <c r="M85" s="143"/>
      <c r="N85" s="143"/>
      <c r="O85" s="143"/>
      <c r="P85" s="143"/>
      <c r="Q85" s="143"/>
      <c r="R85" s="137"/>
      <c r="S85" s="275"/>
      <c r="T85" s="138">
        <v>13</v>
      </c>
      <c r="U85" s="143" t="s">
        <v>38</v>
      </c>
      <c r="V85" s="143"/>
      <c r="W85" s="143"/>
      <c r="X85" s="143"/>
      <c r="Y85" s="143"/>
      <c r="Z85" s="143"/>
      <c r="AA85" s="139"/>
      <c r="AB85" s="275"/>
      <c r="AC85" s="138">
        <v>10</v>
      </c>
      <c r="AD85" s="143" t="s">
        <v>38</v>
      </c>
      <c r="AE85" s="143"/>
      <c r="AF85" s="143"/>
      <c r="AG85" s="143"/>
      <c r="AH85" s="143"/>
      <c r="AI85" s="143"/>
      <c r="AJ85" s="137"/>
      <c r="AK85" s="275"/>
      <c r="AL85" s="233">
        <v>8</v>
      </c>
      <c r="AM85" s="143" t="s">
        <v>38</v>
      </c>
      <c r="AN85" s="143"/>
      <c r="AO85" s="143"/>
      <c r="AP85" s="143"/>
      <c r="AQ85" s="143"/>
      <c r="AR85" s="143"/>
      <c r="AS85" s="137"/>
      <c r="AT85" s="275"/>
      <c r="AU85" s="138">
        <v>12</v>
      </c>
      <c r="AV85" s="143" t="s">
        <v>38</v>
      </c>
      <c r="AW85" s="143"/>
      <c r="AX85" s="143"/>
      <c r="AY85" s="143"/>
      <c r="AZ85" s="143"/>
      <c r="BA85" s="143"/>
    </row>
    <row r="86" spans="1:64" ht="20.100000000000001" customHeight="1">
      <c r="A86" s="275">
        <v>2</v>
      </c>
      <c r="B86" s="135">
        <v>11</v>
      </c>
      <c r="C86" s="136" t="s">
        <v>32</v>
      </c>
      <c r="D86" s="136"/>
      <c r="E86" s="136"/>
      <c r="F86" s="136"/>
      <c r="G86" s="136"/>
      <c r="H86" s="136"/>
      <c r="I86" s="137"/>
      <c r="J86" s="275">
        <v>7</v>
      </c>
      <c r="K86" s="138">
        <v>15</v>
      </c>
      <c r="L86" s="136" t="s">
        <v>32</v>
      </c>
      <c r="M86" s="136"/>
      <c r="N86" s="136"/>
      <c r="O86" s="136"/>
      <c r="P86" s="136"/>
      <c r="Q86" s="136"/>
      <c r="R86" s="137"/>
      <c r="S86" s="275">
        <v>11</v>
      </c>
      <c r="T86" s="138">
        <v>14</v>
      </c>
      <c r="U86" s="189" t="s">
        <v>32</v>
      </c>
      <c r="V86" s="136"/>
      <c r="W86" s="136"/>
      <c r="X86" s="136"/>
      <c r="Y86" s="136"/>
      <c r="Z86" s="136"/>
      <c r="AA86" s="139"/>
      <c r="AB86" s="275">
        <v>15</v>
      </c>
      <c r="AC86" s="138">
        <v>11</v>
      </c>
      <c r="AD86" s="136" t="s">
        <v>32</v>
      </c>
      <c r="AE86" s="136"/>
      <c r="AF86" s="136"/>
      <c r="AG86" s="136"/>
      <c r="AH86" s="136"/>
      <c r="AI86" s="136"/>
      <c r="AJ86" s="137"/>
      <c r="AK86" s="275">
        <v>19</v>
      </c>
      <c r="AL86" s="135">
        <v>9</v>
      </c>
      <c r="AM86" s="136" t="s">
        <v>32</v>
      </c>
      <c r="AN86" s="136"/>
      <c r="AO86" s="136"/>
      <c r="AP86" s="136"/>
      <c r="AQ86" s="136"/>
      <c r="AR86" s="136"/>
      <c r="AS86" s="137"/>
      <c r="AT86" s="275">
        <v>24</v>
      </c>
      <c r="AU86" s="135">
        <v>13</v>
      </c>
      <c r="AV86" s="136" t="s">
        <v>32</v>
      </c>
      <c r="AW86" s="251"/>
      <c r="AX86" s="136"/>
      <c r="AY86" s="136"/>
      <c r="AZ86" s="136"/>
      <c r="BA86" s="136"/>
    </row>
    <row r="87" spans="1:64" ht="20.100000000000001" customHeight="1">
      <c r="A87" s="275"/>
      <c r="B87" s="135">
        <v>12</v>
      </c>
      <c r="C87" s="136" t="s">
        <v>33</v>
      </c>
      <c r="D87" s="136"/>
      <c r="E87" s="136"/>
      <c r="F87" s="136"/>
      <c r="G87" s="136"/>
      <c r="H87" s="136"/>
      <c r="I87" s="137"/>
      <c r="J87" s="275"/>
      <c r="K87" s="138">
        <v>16</v>
      </c>
      <c r="L87" s="136" t="s">
        <v>33</v>
      </c>
      <c r="M87" s="136"/>
      <c r="N87" s="136"/>
      <c r="O87" s="136"/>
      <c r="P87" s="136"/>
      <c r="Q87" s="136"/>
      <c r="R87" s="137"/>
      <c r="S87" s="275"/>
      <c r="T87" s="138">
        <v>15</v>
      </c>
      <c r="U87" s="189" t="s">
        <v>33</v>
      </c>
      <c r="V87" s="136"/>
      <c r="W87" s="136"/>
      <c r="X87" s="136"/>
      <c r="Y87" s="136"/>
      <c r="Z87" s="136"/>
      <c r="AA87" s="139"/>
      <c r="AB87" s="275"/>
      <c r="AC87" s="138">
        <v>12</v>
      </c>
      <c r="AD87" s="136" t="s">
        <v>33</v>
      </c>
      <c r="AE87" s="136"/>
      <c r="AF87" s="136"/>
      <c r="AG87" s="136"/>
      <c r="AH87" s="136"/>
      <c r="AI87" s="136"/>
      <c r="AJ87" s="137"/>
      <c r="AK87" s="275"/>
      <c r="AL87" s="135">
        <v>10</v>
      </c>
      <c r="AM87" s="136" t="s">
        <v>33</v>
      </c>
      <c r="AN87" s="136"/>
      <c r="AO87" s="136"/>
      <c r="AP87" s="136"/>
      <c r="AQ87" s="136"/>
      <c r="AR87" s="136"/>
      <c r="AS87" s="137"/>
      <c r="AT87" s="275"/>
      <c r="AU87" s="138">
        <v>14</v>
      </c>
      <c r="AV87" s="136" t="s">
        <v>33</v>
      </c>
      <c r="AW87" s="136"/>
      <c r="AX87" s="136"/>
      <c r="AY87" s="136"/>
      <c r="AZ87" s="136"/>
      <c r="BA87" s="136"/>
    </row>
    <row r="88" spans="1:64" ht="20.100000000000001" customHeight="1">
      <c r="A88" s="275"/>
      <c r="B88" s="135">
        <v>13</v>
      </c>
      <c r="C88" s="136" t="s">
        <v>34</v>
      </c>
      <c r="D88" s="254"/>
      <c r="E88" s="136"/>
      <c r="F88" s="136"/>
      <c r="G88" s="136"/>
      <c r="H88" s="136"/>
      <c r="I88" s="137"/>
      <c r="J88" s="275"/>
      <c r="K88" s="138">
        <v>17</v>
      </c>
      <c r="L88" s="136" t="s">
        <v>34</v>
      </c>
      <c r="M88" s="251"/>
      <c r="N88" s="136"/>
      <c r="O88" s="136"/>
      <c r="P88" s="136"/>
      <c r="Q88" s="136"/>
      <c r="R88" s="137"/>
      <c r="S88" s="275"/>
      <c r="T88" s="138">
        <v>16</v>
      </c>
      <c r="U88" s="189" t="s">
        <v>34</v>
      </c>
      <c r="V88" s="251"/>
      <c r="W88" s="136"/>
      <c r="X88" s="136"/>
      <c r="Y88" s="136"/>
      <c r="Z88" s="136"/>
      <c r="AA88" s="139"/>
      <c r="AB88" s="275"/>
      <c r="AC88" s="138">
        <v>13</v>
      </c>
      <c r="AD88" s="136" t="s">
        <v>34</v>
      </c>
      <c r="AE88" s="136"/>
      <c r="AF88" s="136"/>
      <c r="AG88" s="136"/>
      <c r="AH88" s="136"/>
      <c r="AI88" s="136"/>
      <c r="AJ88" s="137"/>
      <c r="AK88" s="275"/>
      <c r="AL88" s="135">
        <v>11</v>
      </c>
      <c r="AM88" s="136" t="s">
        <v>34</v>
      </c>
      <c r="AN88" s="136"/>
      <c r="AO88" s="136"/>
      <c r="AP88" s="136"/>
      <c r="AQ88" s="136"/>
      <c r="AR88" s="136"/>
      <c r="AS88" s="137"/>
      <c r="AT88" s="275"/>
      <c r="AU88" s="135">
        <v>15</v>
      </c>
      <c r="AV88" s="136" t="s">
        <v>34</v>
      </c>
      <c r="AW88" s="254"/>
      <c r="AX88" s="136"/>
      <c r="AY88" s="136"/>
      <c r="AZ88" s="136"/>
      <c r="BA88" s="136"/>
    </row>
    <row r="89" spans="1:64" ht="20.100000000000001" customHeight="1">
      <c r="A89" s="275"/>
      <c r="B89" s="135">
        <v>14</v>
      </c>
      <c r="C89" s="136" t="s">
        <v>35</v>
      </c>
      <c r="D89" s="136"/>
      <c r="E89" s="136"/>
      <c r="F89" s="136"/>
      <c r="G89" s="136"/>
      <c r="H89" s="136"/>
      <c r="I89" s="137"/>
      <c r="J89" s="275"/>
      <c r="K89" s="138">
        <v>18</v>
      </c>
      <c r="L89" s="136" t="s">
        <v>35</v>
      </c>
      <c r="M89" s="136"/>
      <c r="N89" s="136"/>
      <c r="O89" s="136"/>
      <c r="P89" s="136"/>
      <c r="Q89" s="136"/>
      <c r="R89" s="137"/>
      <c r="S89" s="275"/>
      <c r="T89" s="138">
        <v>17</v>
      </c>
      <c r="U89" s="189" t="s">
        <v>35</v>
      </c>
      <c r="V89" s="136"/>
      <c r="W89" s="136"/>
      <c r="X89" s="136"/>
      <c r="Y89" s="136"/>
      <c r="Z89" s="136"/>
      <c r="AA89" s="139"/>
      <c r="AB89" s="275"/>
      <c r="AC89" s="138">
        <v>14</v>
      </c>
      <c r="AD89" s="136" t="s">
        <v>35</v>
      </c>
      <c r="AE89" s="136"/>
      <c r="AF89" s="136"/>
      <c r="AG89" s="136"/>
      <c r="AH89" s="136"/>
      <c r="AI89" s="136"/>
      <c r="AJ89" s="137"/>
      <c r="AK89" s="275"/>
      <c r="AL89" s="135">
        <v>12</v>
      </c>
      <c r="AM89" s="136" t="s">
        <v>35</v>
      </c>
      <c r="AN89" s="136"/>
      <c r="AO89" s="136"/>
      <c r="AP89" s="136"/>
      <c r="AQ89" s="136"/>
      <c r="AR89" s="136"/>
      <c r="AS89" s="137"/>
      <c r="AT89" s="275"/>
      <c r="AU89" s="138">
        <v>16</v>
      </c>
      <c r="AV89" s="136" t="s">
        <v>35</v>
      </c>
      <c r="AW89" s="136"/>
      <c r="AX89" s="136"/>
      <c r="AY89" s="136"/>
      <c r="AZ89" s="136"/>
      <c r="BA89" s="136"/>
    </row>
    <row r="90" spans="1:64" ht="20.100000000000001" customHeight="1">
      <c r="A90" s="275"/>
      <c r="B90" s="135">
        <v>15</v>
      </c>
      <c r="C90" s="136" t="s">
        <v>36</v>
      </c>
      <c r="D90" s="136"/>
      <c r="E90" s="136"/>
      <c r="F90" s="136"/>
      <c r="G90" s="136"/>
      <c r="H90" s="136"/>
      <c r="I90" s="137"/>
      <c r="J90" s="275"/>
      <c r="K90" s="138">
        <v>19</v>
      </c>
      <c r="L90" s="136" t="s">
        <v>36</v>
      </c>
      <c r="M90" s="136"/>
      <c r="N90" s="136"/>
      <c r="O90" s="136"/>
      <c r="P90" s="136"/>
      <c r="Q90" s="136"/>
      <c r="R90" s="137"/>
      <c r="S90" s="275"/>
      <c r="T90" s="138">
        <v>18</v>
      </c>
      <c r="U90" s="189" t="s">
        <v>36</v>
      </c>
      <c r="V90" s="136"/>
      <c r="W90" s="136"/>
      <c r="X90" s="136"/>
      <c r="Y90" s="136"/>
      <c r="Z90" s="136"/>
      <c r="AA90" s="139"/>
      <c r="AB90" s="275"/>
      <c r="AC90" s="138">
        <v>15</v>
      </c>
      <c r="AD90" s="136" t="s">
        <v>36</v>
      </c>
      <c r="AE90" s="251"/>
      <c r="AF90" s="136"/>
      <c r="AG90" s="136"/>
      <c r="AH90" s="136"/>
      <c r="AI90" s="136"/>
      <c r="AJ90" s="137"/>
      <c r="AK90" s="275"/>
      <c r="AL90" s="135">
        <v>13</v>
      </c>
      <c r="AM90" s="136" t="s">
        <v>36</v>
      </c>
      <c r="AN90" s="136"/>
      <c r="AO90" s="136"/>
      <c r="AP90" s="136"/>
      <c r="AQ90" s="136"/>
      <c r="AR90" s="136"/>
      <c r="AS90" s="137"/>
      <c r="AT90" s="275"/>
      <c r="AU90" s="135">
        <v>17</v>
      </c>
      <c r="AV90" s="136" t="s">
        <v>36</v>
      </c>
      <c r="AW90" s="136"/>
      <c r="AX90" s="136"/>
      <c r="AY90" s="136"/>
      <c r="AZ90" s="136"/>
      <c r="BA90" s="136"/>
    </row>
    <row r="91" spans="1:64" ht="20.100000000000001" customHeight="1">
      <c r="A91" s="275"/>
      <c r="B91" s="135">
        <v>16</v>
      </c>
      <c r="C91" s="141" t="s">
        <v>37</v>
      </c>
      <c r="D91" s="141"/>
      <c r="E91" s="141"/>
      <c r="F91" s="141"/>
      <c r="G91" s="141"/>
      <c r="H91" s="141"/>
      <c r="I91" s="137"/>
      <c r="J91" s="275"/>
      <c r="K91" s="138">
        <v>20</v>
      </c>
      <c r="L91" s="141" t="s">
        <v>37</v>
      </c>
      <c r="M91" s="141"/>
      <c r="N91" s="141"/>
      <c r="O91" s="141"/>
      <c r="P91" s="141"/>
      <c r="Q91" s="141"/>
      <c r="R91" s="137"/>
      <c r="S91" s="275"/>
      <c r="T91" s="138">
        <v>19</v>
      </c>
      <c r="U91" s="141" t="s">
        <v>37</v>
      </c>
      <c r="V91" s="141"/>
      <c r="W91" s="141"/>
      <c r="X91" s="141"/>
      <c r="Y91" s="141"/>
      <c r="Z91" s="141"/>
      <c r="AA91" s="139"/>
      <c r="AB91" s="275"/>
      <c r="AC91" s="138">
        <v>16</v>
      </c>
      <c r="AD91" s="141" t="s">
        <v>37</v>
      </c>
      <c r="AE91" s="141"/>
      <c r="AF91" s="141"/>
      <c r="AG91" s="141"/>
      <c r="AH91" s="141"/>
      <c r="AI91" s="141"/>
      <c r="AJ91" s="137"/>
      <c r="AK91" s="275"/>
      <c r="AL91" s="135">
        <v>14</v>
      </c>
      <c r="AM91" s="141" t="s">
        <v>37</v>
      </c>
      <c r="AN91" s="141"/>
      <c r="AO91" s="141"/>
      <c r="AP91" s="141"/>
      <c r="AQ91" s="141"/>
      <c r="AR91" s="141"/>
      <c r="AS91" s="137"/>
      <c r="AT91" s="275"/>
      <c r="AU91" s="138">
        <v>18</v>
      </c>
      <c r="AV91" s="141" t="s">
        <v>37</v>
      </c>
      <c r="AW91" s="141"/>
      <c r="AX91" s="141"/>
      <c r="AY91" s="141"/>
      <c r="AZ91" s="141"/>
      <c r="BA91" s="141"/>
    </row>
    <row r="92" spans="1:64" ht="20.100000000000001" customHeight="1">
      <c r="A92" s="275"/>
      <c r="B92" s="135">
        <v>17</v>
      </c>
      <c r="C92" s="143" t="s">
        <v>38</v>
      </c>
      <c r="D92" s="143"/>
      <c r="E92" s="143"/>
      <c r="F92" s="143"/>
      <c r="G92" s="143"/>
      <c r="H92" s="143"/>
      <c r="I92" s="137"/>
      <c r="J92" s="275"/>
      <c r="K92" s="138">
        <v>21</v>
      </c>
      <c r="L92" s="143" t="s">
        <v>38</v>
      </c>
      <c r="M92" s="143"/>
      <c r="N92" s="143"/>
      <c r="O92" s="143"/>
      <c r="P92" s="143"/>
      <c r="Q92" s="143"/>
      <c r="R92" s="137"/>
      <c r="S92" s="275"/>
      <c r="T92" s="138">
        <v>20</v>
      </c>
      <c r="U92" s="143" t="s">
        <v>38</v>
      </c>
      <c r="V92" s="143"/>
      <c r="W92" s="143"/>
      <c r="X92" s="143"/>
      <c r="Y92" s="143"/>
      <c r="Z92" s="143"/>
      <c r="AA92" s="139"/>
      <c r="AB92" s="275"/>
      <c r="AC92" s="138">
        <v>17</v>
      </c>
      <c r="AD92" s="143" t="s">
        <v>38</v>
      </c>
      <c r="AE92" s="143"/>
      <c r="AF92" s="143"/>
      <c r="AG92" s="143"/>
      <c r="AH92" s="143"/>
      <c r="AI92" s="143"/>
      <c r="AJ92" s="137"/>
      <c r="AK92" s="275"/>
      <c r="AL92" s="135">
        <v>15</v>
      </c>
      <c r="AM92" s="143" t="s">
        <v>38</v>
      </c>
      <c r="AN92" s="143"/>
      <c r="AO92" s="143"/>
      <c r="AP92" s="143"/>
      <c r="AQ92" s="143"/>
      <c r="AR92" s="143"/>
      <c r="AS92" s="137"/>
      <c r="AT92" s="275"/>
      <c r="AU92" s="135">
        <v>19</v>
      </c>
      <c r="AV92" s="143" t="s">
        <v>38</v>
      </c>
      <c r="AW92" s="143"/>
      <c r="AX92" s="143"/>
      <c r="AY92" s="143"/>
      <c r="AZ92" s="143"/>
      <c r="BA92" s="143"/>
    </row>
    <row r="93" spans="1:64" ht="20.100000000000001" customHeight="1">
      <c r="A93" s="275">
        <v>3</v>
      </c>
      <c r="B93" s="135">
        <v>18</v>
      </c>
      <c r="C93" s="136" t="s">
        <v>32</v>
      </c>
      <c r="D93" s="251"/>
      <c r="E93" s="136"/>
      <c r="F93" s="136"/>
      <c r="G93" s="136"/>
      <c r="H93" s="136"/>
      <c r="I93" s="137"/>
      <c r="J93" s="275">
        <v>8</v>
      </c>
      <c r="K93" s="138">
        <v>22</v>
      </c>
      <c r="L93" s="136" t="s">
        <v>32</v>
      </c>
      <c r="M93" s="136"/>
      <c r="N93" s="136"/>
      <c r="O93" s="136"/>
      <c r="P93" s="136"/>
      <c r="Q93" s="136"/>
      <c r="R93" s="137"/>
      <c r="S93" s="275">
        <v>12</v>
      </c>
      <c r="T93" s="138">
        <v>21</v>
      </c>
      <c r="U93" s="189" t="s">
        <v>32</v>
      </c>
      <c r="V93" s="136"/>
      <c r="W93" s="136"/>
      <c r="X93" s="136"/>
      <c r="Y93" s="136"/>
      <c r="Z93" s="136"/>
      <c r="AA93" s="139"/>
      <c r="AB93" s="275">
        <v>16</v>
      </c>
      <c r="AC93" s="138">
        <v>18</v>
      </c>
      <c r="AD93" s="136" t="s">
        <v>32</v>
      </c>
      <c r="AE93" s="136"/>
      <c r="AF93" s="136"/>
      <c r="AG93" s="136"/>
      <c r="AH93" s="136"/>
      <c r="AI93" s="136"/>
      <c r="AJ93" s="137"/>
      <c r="AK93" s="275">
        <v>20</v>
      </c>
      <c r="AL93" s="135">
        <v>16</v>
      </c>
      <c r="AM93" s="136" t="s">
        <v>32</v>
      </c>
      <c r="AN93" s="251"/>
      <c r="AO93" s="136"/>
      <c r="AP93" s="136"/>
      <c r="AQ93" s="136"/>
      <c r="AR93" s="136"/>
      <c r="AS93" s="137"/>
      <c r="AT93" s="275">
        <v>25</v>
      </c>
      <c r="AU93" s="138">
        <v>20</v>
      </c>
      <c r="AV93" s="136" t="s">
        <v>32</v>
      </c>
      <c r="AW93" s="136"/>
      <c r="AX93" s="136"/>
      <c r="AY93" s="136"/>
      <c r="AZ93" s="136"/>
      <c r="BA93" s="136"/>
    </row>
    <row r="94" spans="1:64" ht="20.100000000000001" customHeight="1">
      <c r="A94" s="275"/>
      <c r="B94" s="135">
        <v>19</v>
      </c>
      <c r="C94" s="136" t="s">
        <v>33</v>
      </c>
      <c r="D94" s="136"/>
      <c r="E94" s="136"/>
      <c r="F94" s="136"/>
      <c r="G94" s="136"/>
      <c r="H94" s="136"/>
      <c r="I94" s="137"/>
      <c r="J94" s="275"/>
      <c r="K94" s="138">
        <v>23</v>
      </c>
      <c r="L94" s="136" t="s">
        <v>33</v>
      </c>
      <c r="M94" s="136"/>
      <c r="N94" s="136"/>
      <c r="O94" s="136"/>
      <c r="P94" s="136"/>
      <c r="Q94" s="136"/>
      <c r="R94" s="137"/>
      <c r="S94" s="275"/>
      <c r="T94" s="138">
        <v>22</v>
      </c>
      <c r="U94" s="189" t="s">
        <v>33</v>
      </c>
      <c r="V94" s="136"/>
      <c r="W94" s="136"/>
      <c r="X94" s="136"/>
      <c r="Y94" s="136"/>
      <c r="Z94" s="136"/>
      <c r="AA94" s="139"/>
      <c r="AB94" s="275"/>
      <c r="AC94" s="138">
        <v>19</v>
      </c>
      <c r="AD94" s="136" t="s">
        <v>33</v>
      </c>
      <c r="AE94" s="136"/>
      <c r="AF94" s="136"/>
      <c r="AG94" s="136"/>
      <c r="AH94" s="136"/>
      <c r="AI94" s="136"/>
      <c r="AJ94" s="137"/>
      <c r="AK94" s="275"/>
      <c r="AL94" s="135">
        <v>17</v>
      </c>
      <c r="AM94" s="136" t="s">
        <v>33</v>
      </c>
      <c r="AN94" s="136"/>
      <c r="AO94" s="136"/>
      <c r="AP94" s="136"/>
      <c r="AQ94" s="136"/>
      <c r="AR94" s="136"/>
      <c r="AS94" s="137"/>
      <c r="AT94" s="275"/>
      <c r="AU94" s="135">
        <v>21</v>
      </c>
      <c r="AV94" s="136" t="s">
        <v>33</v>
      </c>
      <c r="AW94" s="136"/>
      <c r="AX94" s="136"/>
      <c r="AY94" s="136"/>
      <c r="AZ94" s="136"/>
      <c r="BA94" s="136"/>
    </row>
    <row r="95" spans="1:64" ht="20.100000000000001" customHeight="1">
      <c r="A95" s="275"/>
      <c r="B95" s="135">
        <v>20</v>
      </c>
      <c r="C95" s="136" t="s">
        <v>34</v>
      </c>
      <c r="D95" s="136"/>
      <c r="E95" s="136"/>
      <c r="F95" s="136"/>
      <c r="G95" s="136"/>
      <c r="H95" s="136"/>
      <c r="I95" s="137"/>
      <c r="J95" s="275"/>
      <c r="K95" s="138">
        <v>24</v>
      </c>
      <c r="L95" s="136" t="s">
        <v>34</v>
      </c>
      <c r="M95" s="254"/>
      <c r="N95" s="136"/>
      <c r="O95" s="136"/>
      <c r="P95" s="136"/>
      <c r="Q95" s="136"/>
      <c r="R95" s="137"/>
      <c r="S95" s="275"/>
      <c r="T95" s="138">
        <v>23</v>
      </c>
      <c r="U95" s="189" t="s">
        <v>34</v>
      </c>
      <c r="V95" s="254"/>
      <c r="W95" s="136"/>
      <c r="X95" s="136"/>
      <c r="Y95" s="136"/>
      <c r="Z95" s="136"/>
      <c r="AA95" s="139"/>
      <c r="AB95" s="275"/>
      <c r="AC95" s="138">
        <v>20</v>
      </c>
      <c r="AD95" s="136" t="s">
        <v>34</v>
      </c>
      <c r="AE95" s="254"/>
      <c r="AF95" s="136"/>
      <c r="AG95" s="136"/>
      <c r="AH95" s="136"/>
      <c r="AI95" s="136"/>
      <c r="AJ95" s="137"/>
      <c r="AK95" s="275"/>
      <c r="AL95" s="135">
        <v>18</v>
      </c>
      <c r="AM95" s="136" t="s">
        <v>34</v>
      </c>
      <c r="AN95" s="254"/>
      <c r="AO95" s="136"/>
      <c r="AP95" s="136"/>
      <c r="AQ95" s="136"/>
      <c r="AR95" s="136"/>
      <c r="AS95" s="137"/>
      <c r="AT95" s="275"/>
      <c r="AU95" s="138">
        <v>22</v>
      </c>
      <c r="AV95" s="136" t="s">
        <v>34</v>
      </c>
      <c r="AW95" s="136"/>
      <c r="AX95" s="136"/>
      <c r="AY95" s="136"/>
      <c r="AZ95" s="136"/>
      <c r="BA95" s="136"/>
      <c r="BK95" s="213"/>
      <c r="BL95" s="213"/>
    </row>
    <row r="96" spans="1:64" ht="20.100000000000001" customHeight="1">
      <c r="A96" s="275"/>
      <c r="B96" s="135">
        <v>21</v>
      </c>
      <c r="C96" s="136" t="s">
        <v>35</v>
      </c>
      <c r="D96" s="136"/>
      <c r="E96" s="136"/>
      <c r="F96" s="136"/>
      <c r="G96" s="136"/>
      <c r="H96" s="136"/>
      <c r="I96" s="137"/>
      <c r="J96" s="275"/>
      <c r="K96" s="138">
        <v>25</v>
      </c>
      <c r="L96" s="136" t="s">
        <v>35</v>
      </c>
      <c r="M96" s="136"/>
      <c r="N96" s="136"/>
      <c r="O96" s="136"/>
      <c r="P96" s="136"/>
      <c r="Q96" s="136"/>
      <c r="R96" s="137"/>
      <c r="S96" s="275"/>
      <c r="T96" s="138">
        <v>24</v>
      </c>
      <c r="U96" s="189" t="s">
        <v>35</v>
      </c>
      <c r="V96" s="136"/>
      <c r="W96" s="136"/>
      <c r="X96" s="136"/>
      <c r="Y96" s="136"/>
      <c r="Z96" s="136"/>
      <c r="AA96" s="139"/>
      <c r="AB96" s="275"/>
      <c r="AC96" s="138">
        <v>21</v>
      </c>
      <c r="AD96" s="136" t="s">
        <v>35</v>
      </c>
      <c r="AE96" s="136"/>
      <c r="AF96" s="136"/>
      <c r="AG96" s="136"/>
      <c r="AH96" s="136"/>
      <c r="AI96" s="136"/>
      <c r="AJ96" s="137"/>
      <c r="AK96" s="275"/>
      <c r="AL96" s="135">
        <v>19</v>
      </c>
      <c r="AM96" s="136" t="s">
        <v>35</v>
      </c>
      <c r="AN96" s="136"/>
      <c r="AO96" s="136"/>
      <c r="AP96" s="136"/>
      <c r="AQ96" s="136"/>
      <c r="AR96" s="136"/>
      <c r="AS96" s="137"/>
      <c r="AT96" s="275"/>
      <c r="AU96" s="135">
        <v>23</v>
      </c>
      <c r="AV96" s="136" t="s">
        <v>35</v>
      </c>
      <c r="AW96" s="136"/>
      <c r="AX96" s="136"/>
      <c r="AY96" s="136"/>
      <c r="AZ96" s="136"/>
      <c r="BA96" s="136"/>
    </row>
    <row r="97" spans="1:53" ht="20.100000000000001" customHeight="1">
      <c r="A97" s="275"/>
      <c r="B97" s="135">
        <v>22</v>
      </c>
      <c r="C97" s="136" t="s">
        <v>36</v>
      </c>
      <c r="D97" s="136"/>
      <c r="E97" s="136"/>
      <c r="F97" s="136"/>
      <c r="G97" s="136"/>
      <c r="H97" s="136"/>
      <c r="I97" s="137"/>
      <c r="J97" s="275"/>
      <c r="K97" s="138">
        <v>26</v>
      </c>
      <c r="L97" s="136" t="s">
        <v>36</v>
      </c>
      <c r="M97" s="136"/>
      <c r="N97" s="136"/>
      <c r="O97" s="136"/>
      <c r="P97" s="136"/>
      <c r="Q97" s="136"/>
      <c r="R97" s="137"/>
      <c r="S97" s="275"/>
      <c r="T97" s="246">
        <v>25</v>
      </c>
      <c r="U97" s="215" t="s">
        <v>36</v>
      </c>
      <c r="V97" s="136"/>
      <c r="W97" s="136"/>
      <c r="X97" s="136"/>
      <c r="Y97" s="136"/>
      <c r="Z97" s="136"/>
      <c r="AA97" s="139"/>
      <c r="AB97" s="275"/>
      <c r="AC97" s="138">
        <v>22</v>
      </c>
      <c r="AD97" s="136" t="s">
        <v>36</v>
      </c>
      <c r="AE97" s="136"/>
      <c r="AF97" s="136"/>
      <c r="AG97" s="136"/>
      <c r="AH97" s="136"/>
      <c r="AI97" s="136"/>
      <c r="AJ97" s="137"/>
      <c r="AK97" s="275"/>
      <c r="AL97" s="135">
        <v>20</v>
      </c>
      <c r="AM97" s="136" t="s">
        <v>36</v>
      </c>
      <c r="AN97" s="136"/>
      <c r="AO97" s="136"/>
      <c r="AP97" s="136"/>
      <c r="AQ97" s="136"/>
      <c r="AR97" s="136"/>
      <c r="AS97" s="137"/>
      <c r="AT97" s="275"/>
      <c r="AU97" s="138">
        <v>24</v>
      </c>
      <c r="AV97" s="136" t="s">
        <v>36</v>
      </c>
      <c r="AW97" s="136"/>
      <c r="AX97" s="136"/>
      <c r="AY97" s="136"/>
      <c r="AZ97" s="136"/>
      <c r="BA97" s="136"/>
    </row>
    <row r="98" spans="1:53" ht="20.100000000000001" customHeight="1">
      <c r="A98" s="275"/>
      <c r="B98" s="135">
        <v>23</v>
      </c>
      <c r="C98" s="141" t="s">
        <v>37</v>
      </c>
      <c r="D98" s="141"/>
      <c r="E98" s="141"/>
      <c r="F98" s="141"/>
      <c r="G98" s="141"/>
      <c r="H98" s="141"/>
      <c r="I98" s="137"/>
      <c r="J98" s="275"/>
      <c r="K98" s="138">
        <v>27</v>
      </c>
      <c r="L98" s="141" t="s">
        <v>37</v>
      </c>
      <c r="M98" s="141"/>
      <c r="N98" s="141"/>
      <c r="O98" s="141"/>
      <c r="P98" s="141"/>
      <c r="Q98" s="141"/>
      <c r="R98" s="137"/>
      <c r="S98" s="275"/>
      <c r="T98" s="138">
        <v>26</v>
      </c>
      <c r="U98" s="189" t="s">
        <v>37</v>
      </c>
      <c r="V98" s="141"/>
      <c r="W98" s="141"/>
      <c r="X98" s="141"/>
      <c r="Y98" s="141"/>
      <c r="Z98" s="141"/>
      <c r="AA98" s="139"/>
      <c r="AB98" s="275"/>
      <c r="AC98" s="138">
        <v>23</v>
      </c>
      <c r="AD98" s="141" t="s">
        <v>37</v>
      </c>
      <c r="AE98" s="141"/>
      <c r="AF98" s="141"/>
      <c r="AG98" s="141"/>
      <c r="AH98" s="141"/>
      <c r="AI98" s="141"/>
      <c r="AJ98" s="137"/>
      <c r="AK98" s="275"/>
      <c r="AL98" s="135">
        <v>21</v>
      </c>
      <c r="AM98" s="141" t="s">
        <v>37</v>
      </c>
      <c r="AN98" s="141"/>
      <c r="AO98" s="141"/>
      <c r="AP98" s="141"/>
      <c r="AQ98" s="141"/>
      <c r="AR98" s="141"/>
      <c r="AS98" s="137"/>
      <c r="AT98" s="275"/>
      <c r="AU98" s="135">
        <v>25</v>
      </c>
      <c r="AV98" s="141" t="s">
        <v>37</v>
      </c>
      <c r="AW98" s="141"/>
      <c r="AX98" s="141"/>
      <c r="AY98" s="141"/>
      <c r="AZ98" s="141"/>
      <c r="BA98" s="141"/>
    </row>
    <row r="99" spans="1:53" ht="20.100000000000001" customHeight="1">
      <c r="A99" s="275"/>
      <c r="B99" s="135">
        <v>24</v>
      </c>
      <c r="C99" s="143" t="s">
        <v>38</v>
      </c>
      <c r="D99" s="143"/>
      <c r="E99" s="143"/>
      <c r="F99" s="143"/>
      <c r="G99" s="143"/>
      <c r="H99" s="143"/>
      <c r="I99" s="137"/>
      <c r="J99" s="275"/>
      <c r="K99" s="138">
        <v>28</v>
      </c>
      <c r="L99" s="143" t="s">
        <v>38</v>
      </c>
      <c r="M99" s="143"/>
      <c r="N99" s="143"/>
      <c r="O99" s="143"/>
      <c r="P99" s="143"/>
      <c r="Q99" s="143"/>
      <c r="R99" s="137"/>
      <c r="S99" s="275"/>
      <c r="T99" s="138">
        <v>27</v>
      </c>
      <c r="U99" s="143" t="s">
        <v>38</v>
      </c>
      <c r="V99" s="143"/>
      <c r="W99" s="143"/>
      <c r="X99" s="143"/>
      <c r="Y99" s="143"/>
      <c r="Z99" s="143"/>
      <c r="AA99" s="139"/>
      <c r="AB99" s="275"/>
      <c r="AC99" s="138">
        <v>24</v>
      </c>
      <c r="AD99" s="143" t="s">
        <v>38</v>
      </c>
      <c r="AE99" s="143"/>
      <c r="AF99" s="143"/>
      <c r="AG99" s="143"/>
      <c r="AH99" s="143"/>
      <c r="AI99" s="143"/>
      <c r="AJ99" s="137"/>
      <c r="AK99" s="275"/>
      <c r="AL99" s="135">
        <v>22</v>
      </c>
      <c r="AM99" s="143" t="s">
        <v>38</v>
      </c>
      <c r="AN99" s="143"/>
      <c r="AO99" s="143"/>
      <c r="AP99" s="143"/>
      <c r="AQ99" s="143"/>
      <c r="AR99" s="143"/>
      <c r="AS99" s="137"/>
      <c r="AT99" s="275"/>
      <c r="AU99" s="138">
        <v>26</v>
      </c>
      <c r="AV99" s="143" t="s">
        <v>38</v>
      </c>
      <c r="AW99" s="143"/>
      <c r="AX99" s="143"/>
      <c r="AY99" s="143"/>
      <c r="AZ99" s="143"/>
      <c r="BA99" s="143"/>
    </row>
    <row r="100" spans="1:53" ht="20.100000000000001" customHeight="1">
      <c r="A100" s="275">
        <v>4</v>
      </c>
      <c r="B100" s="135">
        <v>25</v>
      </c>
      <c r="C100" s="136" t="s">
        <v>32</v>
      </c>
      <c r="D100" s="136"/>
      <c r="E100" s="136"/>
      <c r="F100" s="136"/>
      <c r="G100" s="136"/>
      <c r="H100" s="136"/>
      <c r="I100" s="137"/>
      <c r="J100" s="275">
        <v>9</v>
      </c>
      <c r="K100" s="217">
        <v>29</v>
      </c>
      <c r="L100" s="136" t="s">
        <v>32</v>
      </c>
      <c r="M100" s="136"/>
      <c r="N100" s="136"/>
      <c r="O100" s="136"/>
      <c r="P100" s="136"/>
      <c r="Q100" s="136"/>
      <c r="R100" s="137"/>
      <c r="S100" s="275">
        <v>13</v>
      </c>
      <c r="T100" s="246">
        <v>28</v>
      </c>
      <c r="U100" s="189" t="s">
        <v>32</v>
      </c>
      <c r="V100" s="136"/>
      <c r="W100" s="136"/>
      <c r="X100" s="136"/>
      <c r="Y100" s="136"/>
      <c r="Z100" s="136"/>
      <c r="AA100" s="139"/>
      <c r="AB100" s="275">
        <v>17</v>
      </c>
      <c r="AC100" s="138">
        <v>25</v>
      </c>
      <c r="AD100" s="136" t="s">
        <v>32</v>
      </c>
      <c r="AE100" s="136"/>
      <c r="AF100" s="136"/>
      <c r="AG100" s="136"/>
      <c r="AH100" s="136"/>
      <c r="AI100" s="136"/>
      <c r="AJ100" s="137"/>
      <c r="AK100" s="275">
        <v>21</v>
      </c>
      <c r="AL100" s="135">
        <v>23</v>
      </c>
      <c r="AM100" s="136" t="s">
        <v>32</v>
      </c>
      <c r="AN100" s="136"/>
      <c r="AO100" s="136"/>
      <c r="AP100" s="136"/>
      <c r="AQ100" s="136"/>
      <c r="AR100" s="136"/>
      <c r="AS100" s="137"/>
      <c r="AT100" s="275">
        <v>26</v>
      </c>
      <c r="AU100" s="135">
        <v>27</v>
      </c>
      <c r="AV100" s="136" t="s">
        <v>32</v>
      </c>
      <c r="AW100" s="136"/>
      <c r="AX100" s="136"/>
      <c r="AY100" s="136"/>
      <c r="AZ100" s="136"/>
      <c r="BA100" s="136"/>
    </row>
    <row r="101" spans="1:53" ht="20.100000000000001" customHeight="1">
      <c r="A101" s="275"/>
      <c r="B101" s="135">
        <v>26</v>
      </c>
      <c r="C101" s="136" t="s">
        <v>33</v>
      </c>
      <c r="D101" s="136"/>
      <c r="E101" s="136"/>
      <c r="F101" s="136"/>
      <c r="G101" s="136"/>
      <c r="H101" s="136"/>
      <c r="I101" s="137"/>
      <c r="J101" s="275"/>
      <c r="K101" s="138"/>
      <c r="L101" s="136" t="s">
        <v>33</v>
      </c>
      <c r="M101" s="136"/>
      <c r="N101" s="136"/>
      <c r="O101" s="136"/>
      <c r="P101" s="136"/>
      <c r="Q101" s="136"/>
      <c r="R101" s="137"/>
      <c r="S101" s="275"/>
      <c r="T101" s="138">
        <v>29</v>
      </c>
      <c r="U101" s="189" t="s">
        <v>33</v>
      </c>
      <c r="V101" s="136"/>
      <c r="W101" s="136"/>
      <c r="X101" s="136"/>
      <c r="Y101" s="136"/>
      <c r="Z101" s="136"/>
      <c r="AA101" s="139"/>
      <c r="AB101" s="275"/>
      <c r="AC101" s="138">
        <v>26</v>
      </c>
      <c r="AD101" s="136" t="s">
        <v>33</v>
      </c>
      <c r="AE101" s="136"/>
      <c r="AF101" s="136"/>
      <c r="AG101" s="136"/>
      <c r="AH101" s="136"/>
      <c r="AI101" s="136"/>
      <c r="AJ101" s="137"/>
      <c r="AK101" s="275"/>
      <c r="AL101" s="135">
        <v>24</v>
      </c>
      <c r="AM101" s="136" t="s">
        <v>33</v>
      </c>
      <c r="AN101" s="136"/>
      <c r="AO101" s="136"/>
      <c r="AP101" s="136"/>
      <c r="AQ101" s="136"/>
      <c r="AR101" s="136"/>
      <c r="AS101" s="137"/>
      <c r="AT101" s="275"/>
      <c r="AU101" s="138">
        <v>28</v>
      </c>
      <c r="AV101" s="136" t="s">
        <v>33</v>
      </c>
      <c r="AW101" s="136"/>
      <c r="AX101" s="136"/>
      <c r="AY101" s="136"/>
      <c r="AZ101" s="136"/>
      <c r="BA101" s="136"/>
    </row>
    <row r="102" spans="1:53" ht="20.100000000000001" customHeight="1">
      <c r="A102" s="275"/>
      <c r="B102" s="135">
        <v>27</v>
      </c>
      <c r="C102" s="136" t="s">
        <v>34</v>
      </c>
      <c r="D102" s="254"/>
      <c r="E102" s="136"/>
      <c r="F102" s="136"/>
      <c r="G102" s="136"/>
      <c r="H102" s="136"/>
      <c r="I102" s="137"/>
      <c r="J102" s="275"/>
      <c r="K102" s="138"/>
      <c r="L102" s="136" t="s">
        <v>34</v>
      </c>
      <c r="M102" s="136"/>
      <c r="N102" s="136"/>
      <c r="O102" s="136"/>
      <c r="P102" s="136"/>
      <c r="Q102" s="136"/>
      <c r="R102" s="137"/>
      <c r="S102" s="275"/>
      <c r="T102" s="138">
        <v>30</v>
      </c>
      <c r="U102" s="189" t="s">
        <v>34</v>
      </c>
      <c r="V102" s="136"/>
      <c r="W102" s="136"/>
      <c r="X102" s="136"/>
      <c r="Y102" s="136"/>
      <c r="Z102" s="136"/>
      <c r="AA102" s="139"/>
      <c r="AB102" s="275"/>
      <c r="AC102" s="138">
        <v>27</v>
      </c>
      <c r="AD102" s="136" t="s">
        <v>34</v>
      </c>
      <c r="AE102" s="136"/>
      <c r="AF102" s="136"/>
      <c r="AG102" s="136"/>
      <c r="AH102" s="136"/>
      <c r="AI102" s="136"/>
      <c r="AJ102" s="137"/>
      <c r="AK102" s="275"/>
      <c r="AL102" s="135">
        <v>25</v>
      </c>
      <c r="AM102" s="136" t="s">
        <v>34</v>
      </c>
      <c r="AN102" s="136"/>
      <c r="AO102" s="136"/>
      <c r="AP102" s="136"/>
      <c r="AQ102" s="136"/>
      <c r="AR102" s="136"/>
      <c r="AS102" s="137"/>
      <c r="AT102" s="275"/>
      <c r="AU102" s="135">
        <v>29</v>
      </c>
      <c r="AV102" s="136" t="s">
        <v>34</v>
      </c>
      <c r="AW102" s="254"/>
      <c r="AX102" s="136"/>
      <c r="AY102" s="136"/>
      <c r="AZ102" s="136"/>
      <c r="BA102" s="136"/>
    </row>
    <row r="103" spans="1:53" ht="20.100000000000001" customHeight="1">
      <c r="A103" s="275"/>
      <c r="B103" s="135">
        <v>28</v>
      </c>
      <c r="C103" s="136" t="s">
        <v>35</v>
      </c>
      <c r="D103" s="136"/>
      <c r="E103" s="136"/>
      <c r="F103" s="136"/>
      <c r="G103" s="136"/>
      <c r="H103" s="136"/>
      <c r="I103" s="137"/>
      <c r="J103" s="275"/>
      <c r="K103" s="138"/>
      <c r="L103" s="136" t="s">
        <v>35</v>
      </c>
      <c r="M103" s="136"/>
      <c r="N103" s="136"/>
      <c r="O103" s="136"/>
      <c r="P103" s="136"/>
      <c r="Q103" s="136"/>
      <c r="R103" s="137"/>
      <c r="S103" s="275"/>
      <c r="T103" s="138">
        <v>31</v>
      </c>
      <c r="U103" s="189" t="s">
        <v>35</v>
      </c>
      <c r="V103" s="136"/>
      <c r="W103" s="136"/>
      <c r="X103" s="136"/>
      <c r="Y103" s="136"/>
      <c r="Z103" s="136"/>
      <c r="AA103" s="139"/>
      <c r="AB103" s="275"/>
      <c r="AC103" s="138">
        <v>28</v>
      </c>
      <c r="AD103" s="136" t="s">
        <v>35</v>
      </c>
      <c r="AE103" s="136"/>
      <c r="AF103" s="136"/>
      <c r="AG103" s="136"/>
      <c r="AH103" s="136"/>
      <c r="AI103" s="136"/>
      <c r="AJ103" s="137"/>
      <c r="AK103" s="275"/>
      <c r="AL103" s="135">
        <v>26</v>
      </c>
      <c r="AM103" s="136" t="s">
        <v>35</v>
      </c>
      <c r="AN103" s="136"/>
      <c r="AO103" s="136"/>
      <c r="AP103" s="136"/>
      <c r="AQ103" s="136"/>
      <c r="AR103" s="136"/>
      <c r="AS103" s="137"/>
      <c r="AT103" s="275"/>
      <c r="AU103" s="138">
        <v>30</v>
      </c>
      <c r="AV103" s="136" t="s">
        <v>35</v>
      </c>
      <c r="AW103" s="136"/>
      <c r="AX103" s="136"/>
      <c r="AY103" s="136"/>
      <c r="AZ103" s="136"/>
      <c r="BA103" s="136"/>
    </row>
    <row r="104" spans="1:53" ht="20.100000000000001" customHeight="1">
      <c r="A104" s="275"/>
      <c r="B104" s="135">
        <v>29</v>
      </c>
      <c r="C104" s="136" t="s">
        <v>36</v>
      </c>
      <c r="D104" s="136"/>
      <c r="E104" s="136"/>
      <c r="F104" s="136"/>
      <c r="G104" s="136"/>
      <c r="H104" s="136"/>
      <c r="I104" s="137"/>
      <c r="J104" s="275"/>
      <c r="K104" s="138"/>
      <c r="L104" s="136" t="s">
        <v>36</v>
      </c>
      <c r="M104" s="136"/>
      <c r="N104" s="136"/>
      <c r="O104" s="136"/>
      <c r="P104" s="136"/>
      <c r="Q104" s="136"/>
      <c r="R104" s="137"/>
      <c r="S104" s="275"/>
      <c r="T104" s="138"/>
      <c r="U104" s="189" t="s">
        <v>36</v>
      </c>
      <c r="V104" s="136"/>
      <c r="W104" s="136"/>
      <c r="X104" s="136"/>
      <c r="Y104" s="136"/>
      <c r="Z104" s="136"/>
      <c r="AA104" s="139"/>
      <c r="AB104" s="275"/>
      <c r="AC104" s="138">
        <v>29</v>
      </c>
      <c r="AD104" s="136" t="s">
        <v>36</v>
      </c>
      <c r="AE104" s="136"/>
      <c r="AF104" s="136"/>
      <c r="AG104" s="136"/>
      <c r="AH104" s="136"/>
      <c r="AI104" s="136"/>
      <c r="AJ104" s="137"/>
      <c r="AK104" s="275"/>
      <c r="AL104" s="135">
        <v>27</v>
      </c>
      <c r="AM104" s="136" t="s">
        <v>36</v>
      </c>
      <c r="AN104" s="136"/>
      <c r="AO104" s="136"/>
      <c r="AP104" s="136"/>
      <c r="AQ104" s="136"/>
      <c r="AR104" s="136"/>
      <c r="AS104" s="137"/>
      <c r="AT104" s="275"/>
      <c r="AU104" s="138"/>
      <c r="AV104" s="136" t="s">
        <v>36</v>
      </c>
      <c r="AW104" s="136"/>
      <c r="AX104" s="136"/>
      <c r="AY104" s="136"/>
      <c r="AZ104" s="136"/>
      <c r="BA104" s="136"/>
    </row>
    <row r="105" spans="1:53" ht="20.100000000000001" customHeight="1">
      <c r="A105" s="275"/>
      <c r="B105" s="135">
        <v>30</v>
      </c>
      <c r="C105" s="141" t="s">
        <v>37</v>
      </c>
      <c r="D105" s="141"/>
      <c r="E105" s="141"/>
      <c r="F105" s="141"/>
      <c r="G105" s="141"/>
      <c r="H105" s="141"/>
      <c r="I105" s="137"/>
      <c r="J105" s="275"/>
      <c r="K105" s="138"/>
      <c r="L105" s="141" t="s">
        <v>37</v>
      </c>
      <c r="M105" s="141"/>
      <c r="N105" s="141"/>
      <c r="O105" s="141"/>
      <c r="P105" s="141"/>
      <c r="Q105" s="141"/>
      <c r="R105" s="137"/>
      <c r="S105" s="275"/>
      <c r="T105" s="138"/>
      <c r="U105" s="141" t="s">
        <v>37</v>
      </c>
      <c r="V105" s="141"/>
      <c r="W105" s="141"/>
      <c r="X105" s="141"/>
      <c r="Y105" s="141"/>
      <c r="Z105" s="141"/>
      <c r="AA105" s="139"/>
      <c r="AB105" s="275"/>
      <c r="AC105" s="138">
        <v>30</v>
      </c>
      <c r="AD105" s="141" t="s">
        <v>37</v>
      </c>
      <c r="AE105" s="141"/>
      <c r="AF105" s="141"/>
      <c r="AG105" s="141"/>
      <c r="AH105" s="141"/>
      <c r="AI105" s="141"/>
      <c r="AJ105" s="137"/>
      <c r="AK105" s="275"/>
      <c r="AL105" s="135">
        <v>28</v>
      </c>
      <c r="AM105" s="141" t="s">
        <v>37</v>
      </c>
      <c r="AN105" s="141"/>
      <c r="AO105" s="141"/>
      <c r="AP105" s="141"/>
      <c r="AQ105" s="141"/>
      <c r="AR105" s="141"/>
      <c r="AS105" s="137"/>
      <c r="AT105" s="275"/>
      <c r="AU105" s="138"/>
      <c r="AV105" s="141" t="s">
        <v>37</v>
      </c>
      <c r="AW105" s="141"/>
      <c r="AX105" s="141"/>
      <c r="AY105" s="141"/>
      <c r="AZ105" s="141"/>
      <c r="BA105" s="141"/>
    </row>
    <row r="106" spans="1:53" ht="20.100000000000001" customHeight="1">
      <c r="A106" s="275"/>
      <c r="B106" s="135">
        <v>31</v>
      </c>
      <c r="C106" s="143" t="s">
        <v>38</v>
      </c>
      <c r="D106" s="143"/>
      <c r="E106" s="143"/>
      <c r="F106" s="143"/>
      <c r="G106" s="143"/>
      <c r="H106" s="143"/>
      <c r="I106" s="137"/>
      <c r="J106" s="275"/>
      <c r="K106" s="138"/>
      <c r="L106" s="143" t="s">
        <v>38</v>
      </c>
      <c r="M106" s="143"/>
      <c r="N106" s="143"/>
      <c r="O106" s="143"/>
      <c r="P106" s="143"/>
      <c r="Q106" s="143"/>
      <c r="R106" s="137"/>
      <c r="S106" s="275"/>
      <c r="T106" s="138"/>
      <c r="U106" s="143" t="s">
        <v>38</v>
      </c>
      <c r="V106" s="143"/>
      <c r="W106" s="143"/>
      <c r="X106" s="143"/>
      <c r="Y106" s="143"/>
      <c r="Z106" s="143"/>
      <c r="AA106" s="139"/>
      <c r="AB106" s="275"/>
      <c r="AC106" s="135"/>
      <c r="AD106" s="143" t="s">
        <v>38</v>
      </c>
      <c r="AE106" s="143"/>
      <c r="AF106" s="143"/>
      <c r="AG106" s="143"/>
      <c r="AH106" s="143"/>
      <c r="AI106" s="143"/>
      <c r="AJ106" s="137"/>
      <c r="AK106" s="275"/>
      <c r="AL106" s="135">
        <v>29</v>
      </c>
      <c r="AM106" s="143" t="s">
        <v>38</v>
      </c>
      <c r="AN106" s="143"/>
      <c r="AO106" s="143"/>
      <c r="AP106" s="143"/>
      <c r="AQ106" s="143"/>
      <c r="AR106" s="143"/>
      <c r="AS106" s="137"/>
      <c r="AT106" s="275"/>
      <c r="AU106" s="138"/>
      <c r="AV106" s="143" t="s">
        <v>38</v>
      </c>
      <c r="AW106" s="143"/>
      <c r="AX106" s="143"/>
      <c r="AY106" s="143"/>
      <c r="AZ106" s="143"/>
      <c r="BA106" s="143"/>
    </row>
    <row r="107" spans="1:53" ht="20.100000000000001" customHeight="1">
      <c r="A107" s="275"/>
      <c r="B107" s="138"/>
      <c r="C107" s="136" t="s">
        <v>32</v>
      </c>
      <c r="D107" s="136"/>
      <c r="E107" s="136"/>
      <c r="F107" s="136"/>
      <c r="G107" s="136"/>
      <c r="H107" s="136"/>
      <c r="I107" s="137"/>
      <c r="J107" s="275"/>
      <c r="K107" s="217"/>
      <c r="L107" s="136" t="s">
        <v>32</v>
      </c>
      <c r="M107" s="136"/>
      <c r="N107" s="136"/>
      <c r="O107" s="136"/>
      <c r="P107" s="136"/>
      <c r="Q107" s="136"/>
      <c r="R107" s="137"/>
      <c r="S107" s="275"/>
      <c r="T107" s="138"/>
      <c r="U107" s="189" t="s">
        <v>32</v>
      </c>
      <c r="V107" s="136"/>
      <c r="W107" s="136"/>
      <c r="X107" s="136"/>
      <c r="Y107" s="136"/>
      <c r="Z107" s="136"/>
      <c r="AA107" s="139"/>
      <c r="AB107" s="275"/>
      <c r="AC107" s="138"/>
      <c r="AD107" s="136" t="s">
        <v>32</v>
      </c>
      <c r="AE107" s="136"/>
      <c r="AF107" s="136"/>
      <c r="AG107" s="136"/>
      <c r="AH107" s="136"/>
      <c r="AI107" s="136"/>
      <c r="AJ107" s="137"/>
      <c r="AK107" s="275">
        <v>22</v>
      </c>
      <c r="AL107" s="135">
        <v>30</v>
      </c>
      <c r="AM107" s="136" t="s">
        <v>32</v>
      </c>
      <c r="AN107" s="136"/>
      <c r="AO107" s="136"/>
      <c r="AP107" s="136"/>
      <c r="AQ107" s="136"/>
      <c r="AR107" s="136"/>
      <c r="AS107" s="137"/>
      <c r="AT107" s="275"/>
      <c r="AU107" s="138"/>
      <c r="AV107" s="136" t="s">
        <v>32</v>
      </c>
      <c r="AW107" s="136"/>
      <c r="AX107" s="136"/>
      <c r="AY107" s="136"/>
      <c r="AZ107" s="136"/>
      <c r="BA107" s="136"/>
    </row>
    <row r="108" spans="1:53" ht="20.100000000000001" customHeight="1">
      <c r="A108" s="275"/>
      <c r="B108" s="140"/>
      <c r="C108" s="136" t="s">
        <v>33</v>
      </c>
      <c r="D108" s="136"/>
      <c r="E108" s="136"/>
      <c r="F108" s="136"/>
      <c r="G108" s="136"/>
      <c r="H108" s="136"/>
      <c r="I108" s="137"/>
      <c r="J108" s="275"/>
      <c r="K108" s="217"/>
      <c r="L108" s="136" t="s">
        <v>33</v>
      </c>
      <c r="M108" s="136"/>
      <c r="N108" s="136"/>
      <c r="O108" s="136"/>
      <c r="P108" s="136"/>
      <c r="Q108" s="136"/>
      <c r="R108" s="137"/>
      <c r="S108" s="275"/>
      <c r="T108" s="138"/>
      <c r="U108" s="189" t="s">
        <v>33</v>
      </c>
      <c r="V108" s="136"/>
      <c r="W108" s="136"/>
      <c r="X108" s="136"/>
      <c r="Y108" s="136"/>
      <c r="Z108" s="136"/>
      <c r="AA108" s="139"/>
      <c r="AB108" s="275"/>
      <c r="AC108" s="216"/>
      <c r="AD108" s="136" t="s">
        <v>33</v>
      </c>
      <c r="AE108" s="136"/>
      <c r="AF108" s="136"/>
      <c r="AG108" s="136"/>
      <c r="AH108" s="136"/>
      <c r="AI108" s="136"/>
      <c r="AJ108" s="137"/>
      <c r="AK108" s="275"/>
      <c r="AL108" s="135">
        <v>31</v>
      </c>
      <c r="AM108" s="136" t="s">
        <v>33</v>
      </c>
      <c r="AN108" s="136"/>
      <c r="AO108" s="136"/>
      <c r="AP108" s="136"/>
      <c r="AQ108" s="136"/>
      <c r="AR108" s="136"/>
      <c r="AS108" s="137"/>
      <c r="AT108" s="275"/>
      <c r="AU108" s="217"/>
      <c r="AV108" s="136" t="s">
        <v>33</v>
      </c>
      <c r="AW108" s="136"/>
      <c r="AX108" s="136"/>
      <c r="AY108" s="136"/>
      <c r="AZ108" s="136"/>
      <c r="BA108" s="136"/>
    </row>
    <row r="109" spans="1:53" ht="20.100000000000001" customHeight="1">
      <c r="A109" s="275"/>
      <c r="B109" s="218"/>
      <c r="C109" s="136" t="s">
        <v>34</v>
      </c>
      <c r="D109" s="136"/>
      <c r="E109" s="136"/>
      <c r="F109" s="136"/>
      <c r="G109" s="136"/>
      <c r="H109" s="136"/>
      <c r="I109" s="137"/>
      <c r="J109" s="275"/>
      <c r="K109" s="217"/>
      <c r="L109" s="136" t="s">
        <v>34</v>
      </c>
      <c r="M109" s="136"/>
      <c r="N109" s="136"/>
      <c r="O109" s="136"/>
      <c r="P109" s="136"/>
      <c r="Q109" s="136"/>
      <c r="R109" s="137"/>
      <c r="S109" s="275"/>
      <c r="T109" s="138"/>
      <c r="U109" s="189" t="s">
        <v>34</v>
      </c>
      <c r="V109" s="136"/>
      <c r="W109" s="136"/>
      <c r="X109" s="136"/>
      <c r="Y109" s="136"/>
      <c r="Z109" s="136"/>
      <c r="AA109" s="139"/>
      <c r="AB109" s="275"/>
      <c r="AC109" s="217"/>
      <c r="AD109" s="136" t="s">
        <v>34</v>
      </c>
      <c r="AE109" s="136"/>
      <c r="AF109" s="136"/>
      <c r="AG109" s="136"/>
      <c r="AH109" s="136"/>
      <c r="AI109" s="136"/>
      <c r="AJ109" s="137"/>
      <c r="AK109" s="275"/>
      <c r="AL109" s="247"/>
      <c r="AM109" s="136" t="s">
        <v>34</v>
      </c>
      <c r="AN109" s="136"/>
      <c r="AO109" s="136"/>
      <c r="AP109" s="136"/>
      <c r="AQ109" s="136"/>
      <c r="AR109" s="136"/>
      <c r="AS109" s="137"/>
      <c r="AT109" s="275"/>
      <c r="AU109" s="217"/>
      <c r="AV109" s="136" t="s">
        <v>34</v>
      </c>
      <c r="AW109" s="136"/>
      <c r="AX109" s="136"/>
      <c r="AY109" s="136"/>
      <c r="AZ109" s="136"/>
      <c r="BA109" s="136"/>
    </row>
    <row r="110" spans="1:53" ht="20.100000000000001" customHeight="1">
      <c r="A110" s="275"/>
      <c r="B110" s="219"/>
      <c r="C110" s="136" t="s">
        <v>35</v>
      </c>
      <c r="D110" s="136"/>
      <c r="E110" s="136"/>
      <c r="F110" s="136"/>
      <c r="G110" s="136"/>
      <c r="H110" s="136"/>
      <c r="I110" s="137"/>
      <c r="J110" s="275"/>
      <c r="K110" s="217"/>
      <c r="L110" s="136" t="s">
        <v>35</v>
      </c>
      <c r="M110" s="136"/>
      <c r="N110" s="136"/>
      <c r="O110" s="136"/>
      <c r="P110" s="136"/>
      <c r="Q110" s="136"/>
      <c r="R110" s="137"/>
      <c r="S110" s="275"/>
      <c r="T110" s="138"/>
      <c r="U110" s="189" t="s">
        <v>35</v>
      </c>
      <c r="V110" s="136"/>
      <c r="W110" s="136"/>
      <c r="X110" s="136"/>
      <c r="Y110" s="136"/>
      <c r="Z110" s="136"/>
      <c r="AA110" s="139"/>
      <c r="AB110" s="275"/>
      <c r="AC110" s="217"/>
      <c r="AD110" s="136" t="s">
        <v>35</v>
      </c>
      <c r="AE110" s="136"/>
      <c r="AF110" s="136"/>
      <c r="AG110" s="136"/>
      <c r="AH110" s="136"/>
      <c r="AI110" s="136"/>
      <c r="AJ110" s="137"/>
      <c r="AK110" s="275"/>
      <c r="AL110" s="247"/>
      <c r="AM110" s="136" t="s">
        <v>35</v>
      </c>
      <c r="AN110" s="136"/>
      <c r="AO110" s="136"/>
      <c r="AP110" s="136"/>
      <c r="AQ110" s="136"/>
      <c r="AR110" s="136"/>
      <c r="AS110" s="137"/>
      <c r="AT110" s="275"/>
      <c r="AU110" s="217"/>
      <c r="AV110" s="136" t="s">
        <v>35</v>
      </c>
      <c r="AW110" s="136"/>
      <c r="AX110" s="136"/>
      <c r="AY110" s="136"/>
      <c r="AZ110" s="136"/>
      <c r="BA110" s="136"/>
    </row>
    <row r="111" spans="1:53" ht="20.100000000000001" customHeight="1">
      <c r="A111" s="275"/>
      <c r="B111" s="219"/>
      <c r="C111" s="136" t="s">
        <v>36</v>
      </c>
      <c r="D111" s="136"/>
      <c r="E111" s="136"/>
      <c r="F111" s="136"/>
      <c r="G111" s="136"/>
      <c r="H111" s="136"/>
      <c r="I111" s="137"/>
      <c r="J111" s="275"/>
      <c r="K111" s="217"/>
      <c r="L111" s="136" t="s">
        <v>36</v>
      </c>
      <c r="M111" s="136"/>
      <c r="N111" s="136"/>
      <c r="O111" s="136"/>
      <c r="P111" s="136"/>
      <c r="Q111" s="136"/>
      <c r="R111" s="137"/>
      <c r="S111" s="275"/>
      <c r="T111" s="223"/>
      <c r="U111" s="189" t="s">
        <v>36</v>
      </c>
      <c r="V111" s="136"/>
      <c r="W111" s="136"/>
      <c r="X111" s="136"/>
      <c r="Y111" s="136"/>
      <c r="Z111" s="136"/>
      <c r="AA111" s="139"/>
      <c r="AB111" s="275"/>
      <c r="AC111" s="223"/>
      <c r="AD111" s="136" t="s">
        <v>36</v>
      </c>
      <c r="AE111" s="136"/>
      <c r="AF111" s="136"/>
      <c r="AG111" s="136"/>
      <c r="AH111" s="136"/>
      <c r="AI111" s="136"/>
      <c r="AJ111" s="137"/>
      <c r="AK111" s="275"/>
      <c r="AL111" s="135"/>
      <c r="AM111" s="136" t="s">
        <v>36</v>
      </c>
      <c r="AN111" s="136"/>
      <c r="AO111" s="136"/>
      <c r="AP111" s="136"/>
      <c r="AQ111" s="136"/>
      <c r="AR111" s="136"/>
      <c r="AS111" s="137"/>
      <c r="AT111" s="275"/>
      <c r="AU111" s="217"/>
      <c r="AV111" s="136" t="s">
        <v>36</v>
      </c>
      <c r="AW111" s="136"/>
      <c r="AX111" s="136"/>
      <c r="AY111" s="136"/>
      <c r="AZ111" s="136"/>
      <c r="BA111" s="136"/>
    </row>
    <row r="112" spans="1:53" ht="20.100000000000001" customHeight="1">
      <c r="A112" s="275"/>
      <c r="B112" s="220"/>
      <c r="C112" s="141" t="s">
        <v>37</v>
      </c>
      <c r="D112" s="141"/>
      <c r="E112" s="141"/>
      <c r="F112" s="141"/>
      <c r="G112" s="141"/>
      <c r="H112" s="141"/>
      <c r="I112" s="137"/>
      <c r="J112" s="275"/>
      <c r="K112" s="217"/>
      <c r="L112" s="141" t="s">
        <v>37</v>
      </c>
      <c r="M112" s="141"/>
      <c r="N112" s="141"/>
      <c r="O112" s="141"/>
      <c r="P112" s="141"/>
      <c r="Q112" s="141"/>
      <c r="R112" s="137"/>
      <c r="S112" s="275"/>
      <c r="T112" s="220"/>
      <c r="U112" s="141" t="s">
        <v>37</v>
      </c>
      <c r="V112" s="141"/>
      <c r="W112" s="141"/>
      <c r="X112" s="141"/>
      <c r="Y112" s="141"/>
      <c r="Z112" s="141"/>
      <c r="AA112" s="139"/>
      <c r="AB112" s="275"/>
      <c r="AC112" s="220"/>
      <c r="AD112" s="141" t="s">
        <v>37</v>
      </c>
      <c r="AE112" s="141"/>
      <c r="AF112" s="141"/>
      <c r="AG112" s="141"/>
      <c r="AH112" s="141"/>
      <c r="AI112" s="141"/>
      <c r="AJ112" s="137"/>
      <c r="AK112" s="275"/>
      <c r="AL112" s="140"/>
      <c r="AM112" s="141" t="s">
        <v>37</v>
      </c>
      <c r="AN112" s="141"/>
      <c r="AO112" s="141"/>
      <c r="AP112" s="141"/>
      <c r="AQ112" s="141"/>
      <c r="AR112" s="141"/>
      <c r="AS112" s="137"/>
      <c r="AT112" s="275"/>
      <c r="AU112" s="220"/>
      <c r="AV112" s="141" t="s">
        <v>37</v>
      </c>
      <c r="AW112" s="141"/>
      <c r="AX112" s="141"/>
      <c r="AY112" s="141"/>
      <c r="AZ112" s="141"/>
      <c r="BA112" s="141"/>
    </row>
    <row r="113" spans="1:53" ht="19.5" customHeight="1">
      <c r="A113" s="275"/>
      <c r="B113" s="221"/>
      <c r="C113" s="143" t="s">
        <v>38</v>
      </c>
      <c r="D113" s="143"/>
      <c r="E113" s="143"/>
      <c r="F113" s="143"/>
      <c r="G113" s="143"/>
      <c r="H113" s="143"/>
      <c r="I113" s="137"/>
      <c r="J113" s="275"/>
      <c r="K113" s="221"/>
      <c r="L113" s="143" t="s">
        <v>38</v>
      </c>
      <c r="M113" s="143"/>
      <c r="N113" s="143"/>
      <c r="O113" s="143"/>
      <c r="P113" s="143"/>
      <c r="Q113" s="143"/>
      <c r="R113" s="137"/>
      <c r="S113" s="275"/>
      <c r="T113" s="221"/>
      <c r="U113" s="143" t="s">
        <v>38</v>
      </c>
      <c r="V113" s="143"/>
      <c r="W113" s="143"/>
      <c r="X113" s="143"/>
      <c r="Y113" s="143"/>
      <c r="Z113" s="143"/>
      <c r="AA113" s="139"/>
      <c r="AB113" s="275"/>
      <c r="AC113" s="221"/>
      <c r="AD113" s="143" t="s">
        <v>38</v>
      </c>
      <c r="AE113" s="143"/>
      <c r="AF113" s="143"/>
      <c r="AG113" s="143"/>
      <c r="AH113" s="143"/>
      <c r="AI113" s="143"/>
      <c r="AJ113" s="137"/>
      <c r="AK113" s="275"/>
      <c r="AL113" s="248"/>
      <c r="AM113" s="143" t="s">
        <v>38</v>
      </c>
      <c r="AN113" s="143"/>
      <c r="AO113" s="143"/>
      <c r="AP113" s="143"/>
      <c r="AQ113" s="143"/>
      <c r="AR113" s="143"/>
      <c r="AS113" s="137"/>
      <c r="AT113" s="275"/>
      <c r="AU113" s="221"/>
      <c r="AV113" s="143" t="s">
        <v>38</v>
      </c>
      <c r="AW113" s="143"/>
      <c r="AX113" s="143"/>
      <c r="AY113" s="143"/>
      <c r="AZ113" s="143"/>
      <c r="BA113" s="143"/>
    </row>
    <row r="114" spans="1:53" ht="19.5" hidden="1" thickBot="1">
      <c r="B114" s="144">
        <f>C122-C116-C134-C128</f>
        <v>19</v>
      </c>
      <c r="C114" s="145">
        <f>SUM(B114+K114+T114)</f>
        <v>63</v>
      </c>
      <c r="D114" s="9">
        <f>C114*8</f>
        <v>504</v>
      </c>
      <c r="J114" s="70"/>
      <c r="K114" s="144">
        <f>L122-L116+L128</f>
        <v>21</v>
      </c>
      <c r="L114" s="70"/>
      <c r="M114" s="70"/>
      <c r="N114" s="70"/>
      <c r="O114" s="70"/>
      <c r="P114" s="70"/>
      <c r="Q114" s="70"/>
      <c r="R114" s="70"/>
      <c r="S114" s="24"/>
      <c r="T114" s="144">
        <f>U122-U116-U128-U134</f>
        <v>23</v>
      </c>
      <c r="U114" s="200"/>
      <c r="AA114" s="115"/>
      <c r="AB114" s="24"/>
      <c r="AC114" s="144">
        <f>AD122-AD116-AD128-AD134-AD140-AD146</f>
        <v>19</v>
      </c>
      <c r="AD114" s="145">
        <f>SUM(AC114+AL114+AU114)</f>
        <v>62</v>
      </c>
      <c r="AE114" s="9">
        <f>AD114*8</f>
        <v>496</v>
      </c>
      <c r="AJ114" s="70"/>
      <c r="AK114" s="24"/>
      <c r="AL114" s="144">
        <f>AM122-AM116-AM134-AM128</f>
        <v>21</v>
      </c>
      <c r="AM114" s="70"/>
      <c r="AN114" s="70"/>
      <c r="AO114" s="70"/>
      <c r="AP114" s="70"/>
      <c r="AQ114" s="70"/>
      <c r="AR114" s="70"/>
      <c r="AS114" s="70"/>
      <c r="AT114" s="24"/>
      <c r="AU114" s="144">
        <f>AV122-AV116</f>
        <v>22</v>
      </c>
      <c r="AV114" s="145"/>
    </row>
    <row r="115" spans="1:53" hidden="1">
      <c r="A115" s="9" t="s">
        <v>39</v>
      </c>
      <c r="B115" s="9">
        <f>B114*8</f>
        <v>152</v>
      </c>
      <c r="C115" s="9" t="s">
        <v>40</v>
      </c>
      <c r="D115" s="9" t="s">
        <v>41</v>
      </c>
      <c r="J115" s="70"/>
      <c r="K115" s="9">
        <f>K114*8</f>
        <v>168</v>
      </c>
      <c r="L115" s="9" t="s">
        <v>40</v>
      </c>
      <c r="M115" s="9" t="s">
        <v>41</v>
      </c>
      <c r="R115" s="70"/>
      <c r="S115" s="60"/>
      <c r="T115" s="9">
        <f>T114*8</f>
        <v>184</v>
      </c>
      <c r="U115" s="194" t="s">
        <v>40</v>
      </c>
      <c r="V115" s="9" t="s">
        <v>41</v>
      </c>
      <c r="AA115" s="115"/>
      <c r="AB115" s="60"/>
      <c r="AC115" s="9">
        <f>AC114*8</f>
        <v>152</v>
      </c>
      <c r="AD115" s="70" t="str">
        <f>C115</f>
        <v xml:space="preserve">  pracovných dní / </v>
      </c>
      <c r="AE115" s="70" t="str">
        <f>D115</f>
        <v xml:space="preserve"> hodín</v>
      </c>
      <c r="AF115" s="70"/>
      <c r="AG115" s="70"/>
      <c r="AH115" s="70"/>
      <c r="AI115" s="70"/>
      <c r="AJ115" s="70"/>
      <c r="AK115" s="60"/>
      <c r="AL115" s="9">
        <f>AL114*8</f>
        <v>168</v>
      </c>
      <c r="AM115" s="9" t="s">
        <v>40</v>
      </c>
      <c r="AN115" s="9" t="s">
        <v>41</v>
      </c>
      <c r="AS115" s="70"/>
      <c r="AT115" s="60"/>
      <c r="AU115" s="9">
        <f>AU114*8</f>
        <v>176</v>
      </c>
      <c r="AV115" s="9" t="s">
        <v>40</v>
      </c>
      <c r="AW115" s="9" t="s">
        <v>41</v>
      </c>
    </row>
    <row r="116" spans="1:53" hidden="1">
      <c r="B116" s="146">
        <f>COUNTIF($B$72:$B$76,"&lt;1")</f>
        <v>1</v>
      </c>
      <c r="C116" s="73">
        <f>SUM(B116:B121)</f>
        <v>1</v>
      </c>
      <c r="J116" s="70"/>
      <c r="K116" s="146">
        <f>COUNTIF($K$72:$K$77,"&lt;1")</f>
        <v>0</v>
      </c>
      <c r="L116" s="73">
        <f>SUM(K116:K121)</f>
        <v>0</v>
      </c>
      <c r="S116" s="60"/>
      <c r="T116" s="146">
        <f>COUNTIF($T$72:$T$78,"&lt;1")</f>
        <v>0</v>
      </c>
      <c r="U116" s="191">
        <f>SUM(T116:T121)</f>
        <v>0</v>
      </c>
      <c r="V116" s="137">
        <f t="shared" ref="V116:V157" si="4">COUNTIF(T72,$A$26)</f>
        <v>0</v>
      </c>
      <c r="W116" s="137"/>
      <c r="X116" s="137"/>
      <c r="Y116" s="137"/>
      <c r="Z116" s="137"/>
      <c r="AA116" s="59">
        <f t="shared" ref="AA116:AA122" si="5">SUM(V116+V123+V130+V137+V144+V151)</f>
        <v>1</v>
      </c>
      <c r="AB116" s="60"/>
      <c r="AC116" s="146">
        <f>COUNTIF($AC$72:$AC$78,"&lt;1")</f>
        <v>0</v>
      </c>
      <c r="AD116" s="70">
        <f t="shared" ref="AD116:AD157" si="6">C116</f>
        <v>1</v>
      </c>
      <c r="AE116" s="137">
        <f t="shared" ref="AE116:AE157" si="7">COUNTIF(AC72,$A$26)</f>
        <v>0</v>
      </c>
      <c r="AF116" s="137"/>
      <c r="AG116" s="137"/>
      <c r="AH116" s="137"/>
      <c r="AI116" s="137"/>
      <c r="AJ116" s="60" t="e">
        <f t="shared" ref="AJ116:AJ122" si="8">SUM(AE116+AE123+AE130+AE137+AE144+AE151)</f>
        <v>#REF!</v>
      </c>
      <c r="AK116" s="60"/>
      <c r="AL116" s="146">
        <f>COUNTIF($AL$72:$AL$72,"&lt;1")</f>
        <v>1</v>
      </c>
      <c r="AM116" s="73">
        <f>SUM(AL116:AL121)</f>
        <v>1</v>
      </c>
      <c r="AN116" s="70"/>
      <c r="AO116" s="70"/>
      <c r="AP116" s="70"/>
      <c r="AQ116" s="70"/>
      <c r="AR116" s="70"/>
      <c r="AS116" s="70"/>
      <c r="AT116" s="60"/>
      <c r="AU116" s="146">
        <f>COUNTIF($AU$72:$AU$78,"&lt;1")</f>
        <v>0</v>
      </c>
      <c r="AV116" s="73">
        <f>SUM(AU116:AU121)</f>
        <v>0</v>
      </c>
    </row>
    <row r="117" spans="1:53" hidden="1">
      <c r="B117" s="146">
        <f>COUNTIF($B$80:$B$84,"&lt;1")</f>
        <v>0</v>
      </c>
      <c r="J117" s="70"/>
      <c r="K117" s="146">
        <f>COUNTIF($K$80:$K$84,"&lt;1")</f>
        <v>0</v>
      </c>
      <c r="L117" s="70"/>
      <c r="M117" s="70"/>
      <c r="N117" s="70"/>
      <c r="O117" s="70"/>
      <c r="P117" s="70"/>
      <c r="Q117" s="70"/>
      <c r="R117" s="70"/>
      <c r="S117" s="60"/>
      <c r="T117" s="146">
        <f>COUNTIF($T$81:$T$85,"&lt;1")</f>
        <v>0</v>
      </c>
      <c r="U117" s="198"/>
      <c r="V117" s="137">
        <f t="shared" ref="V117:V147" si="9">COUNTIF(T75,$A$26)</f>
        <v>0</v>
      </c>
      <c r="W117" s="137"/>
      <c r="X117" s="137"/>
      <c r="Y117" s="137"/>
      <c r="Z117" s="137"/>
      <c r="AA117" s="59">
        <f t="shared" si="5"/>
        <v>0</v>
      </c>
      <c r="AB117" s="60"/>
      <c r="AC117" s="146">
        <f>COUNTIF($AC$81:$AC$85,"&lt;1")</f>
        <v>0</v>
      </c>
      <c r="AD117" s="70">
        <f t="shared" si="6"/>
        <v>0</v>
      </c>
      <c r="AE117" s="137">
        <f t="shared" si="7"/>
        <v>0</v>
      </c>
      <c r="AF117" s="137"/>
      <c r="AG117" s="137"/>
      <c r="AH117" s="137"/>
      <c r="AI117" s="137"/>
      <c r="AJ117" s="60">
        <f t="shared" si="8"/>
        <v>0</v>
      </c>
      <c r="AK117" s="60"/>
      <c r="AL117" s="146">
        <f>COUNTIF($AL$74:$AL$78,"&lt;1")</f>
        <v>0</v>
      </c>
      <c r="AM117" s="70"/>
      <c r="AN117" s="70"/>
      <c r="AO117" s="70"/>
      <c r="AP117" s="70"/>
      <c r="AQ117" s="70"/>
      <c r="AR117" s="70"/>
      <c r="AS117" s="70"/>
      <c r="AT117" s="60"/>
      <c r="AU117" s="146">
        <f>COUNTIF($AU$81:$AU$85,"&lt;1")</f>
        <v>0</v>
      </c>
    </row>
    <row r="118" spans="1:53" hidden="1">
      <c r="B118" s="146">
        <f>COUNTIF($B$87:$B$91,"&lt;1")</f>
        <v>0</v>
      </c>
      <c r="J118" s="70"/>
      <c r="K118" s="146">
        <f>COUNTIF($K$87:$K$91,"&lt;1")</f>
        <v>0</v>
      </c>
      <c r="T118" s="146">
        <f>COUNTIF($T$88:$T$92,"&lt;1")</f>
        <v>0</v>
      </c>
      <c r="U118" s="198"/>
      <c r="V118" s="137">
        <f t="shared" si="9"/>
        <v>0</v>
      </c>
      <c r="W118" s="137"/>
      <c r="X118" s="137"/>
      <c r="Y118" s="137"/>
      <c r="Z118" s="137"/>
      <c r="AA118" s="59">
        <f t="shared" si="5"/>
        <v>0</v>
      </c>
      <c r="AB118" s="60"/>
      <c r="AC118" s="146">
        <f>COUNTIF($AC$88:$AC$92,"&lt;1")</f>
        <v>0</v>
      </c>
      <c r="AD118" s="70">
        <f t="shared" si="6"/>
        <v>0</v>
      </c>
      <c r="AE118" s="137">
        <f t="shared" si="7"/>
        <v>0</v>
      </c>
      <c r="AF118" s="137"/>
      <c r="AG118" s="137"/>
      <c r="AH118" s="137"/>
      <c r="AI118" s="137"/>
      <c r="AJ118" s="60">
        <f t="shared" si="8"/>
        <v>0</v>
      </c>
      <c r="AK118" s="60"/>
      <c r="AL118" s="146">
        <f>COUNTIF($AL$81:$AL$85,"&lt;1")</f>
        <v>0</v>
      </c>
      <c r="AM118" s="70"/>
      <c r="AN118" s="70"/>
      <c r="AO118" s="70"/>
      <c r="AP118" s="70"/>
      <c r="AQ118" s="70"/>
      <c r="AR118" s="70"/>
      <c r="AS118" s="70"/>
      <c r="AT118" s="60"/>
      <c r="AU118" s="146">
        <f>COUNTIF($AU$88:$AU$92,"&lt;1")</f>
        <v>0</v>
      </c>
    </row>
    <row r="119" spans="1:53" hidden="1">
      <c r="B119" s="146">
        <f>COUNTIF($B$94:$B$98,"&lt;1")</f>
        <v>0</v>
      </c>
      <c r="J119" s="70"/>
      <c r="K119" s="146">
        <f>COUNTIF($K$94:$K$98,"&lt;1")</f>
        <v>0</v>
      </c>
      <c r="L119" s="70"/>
      <c r="M119" s="70"/>
      <c r="N119" s="70"/>
      <c r="O119" s="70"/>
      <c r="P119" s="70"/>
      <c r="Q119" s="70"/>
      <c r="R119" s="70"/>
      <c r="S119" s="60"/>
      <c r="T119" s="146">
        <f>COUNTIF($T$95:$T$99,"&lt;1")</f>
        <v>0</v>
      </c>
      <c r="U119" s="198"/>
      <c r="V119" s="137">
        <f t="shared" si="9"/>
        <v>0</v>
      </c>
      <c r="W119" s="137"/>
      <c r="X119" s="137"/>
      <c r="Y119" s="137"/>
      <c r="Z119" s="137"/>
      <c r="AA119" s="59">
        <f t="shared" si="5"/>
        <v>0</v>
      </c>
      <c r="AB119" s="60"/>
      <c r="AC119" s="146">
        <f>COUNTIF($AC$95:$AC$99,"&lt;1")</f>
        <v>0</v>
      </c>
      <c r="AD119" s="70">
        <f t="shared" si="6"/>
        <v>0</v>
      </c>
      <c r="AE119" s="137">
        <f t="shared" si="7"/>
        <v>0</v>
      </c>
      <c r="AF119" s="137"/>
      <c r="AG119" s="137"/>
      <c r="AH119" s="137"/>
      <c r="AI119" s="137"/>
      <c r="AJ119" s="60">
        <f t="shared" si="8"/>
        <v>1</v>
      </c>
      <c r="AK119" s="60"/>
      <c r="AL119" s="146">
        <f>COUNTIF($AL$88:$AL$92,"&lt;1")</f>
        <v>0</v>
      </c>
      <c r="AM119" s="70"/>
      <c r="AN119" s="70"/>
      <c r="AO119" s="70"/>
      <c r="AP119" s="70"/>
      <c r="AQ119" s="70"/>
      <c r="AR119" s="70"/>
      <c r="AS119" s="70"/>
      <c r="AT119" s="60"/>
      <c r="AU119" s="146">
        <f>COUNTIF($AU$95:$AU$99,"&lt;1")</f>
        <v>0</v>
      </c>
    </row>
    <row r="120" spans="1:53" hidden="1">
      <c r="B120" s="146">
        <f>COUNTIF($B$101:$B$105,"&lt;1")</f>
        <v>0</v>
      </c>
      <c r="J120" s="70"/>
      <c r="K120" s="146">
        <f>COUNTIF($K$101:$K$104,"&lt;1")</f>
        <v>0</v>
      </c>
      <c r="L120" s="70"/>
      <c r="M120" s="70"/>
      <c r="N120" s="70"/>
      <c r="O120" s="70"/>
      <c r="P120" s="70"/>
      <c r="Q120" s="70"/>
      <c r="R120" s="70"/>
      <c r="S120" s="60"/>
      <c r="T120" s="146">
        <f>COUNTIF($T$102:$T$105,"&lt;1")</f>
        <v>0</v>
      </c>
      <c r="U120" s="198"/>
      <c r="V120" s="137">
        <f t="shared" si="9"/>
        <v>0</v>
      </c>
      <c r="W120" s="137"/>
      <c r="X120" s="137"/>
      <c r="Y120" s="137"/>
      <c r="Z120" s="137"/>
      <c r="AA120" s="59" t="e">
        <f t="shared" si="5"/>
        <v>#REF!</v>
      </c>
      <c r="AB120" s="60"/>
      <c r="AC120" s="146">
        <f>COUNTIF($AC$102:$AC$106,"&lt;1")</f>
        <v>0</v>
      </c>
      <c r="AD120" s="70">
        <f t="shared" si="6"/>
        <v>0</v>
      </c>
      <c r="AE120" s="137">
        <f t="shared" ref="AE120:AE149" si="10">COUNTIF(AC78,$A$26)</f>
        <v>0</v>
      </c>
      <c r="AF120" s="137"/>
      <c r="AG120" s="137"/>
      <c r="AH120" s="137"/>
      <c r="AI120" s="137"/>
      <c r="AJ120" s="60">
        <f t="shared" si="8"/>
        <v>0</v>
      </c>
      <c r="AK120" s="60"/>
      <c r="AL120" s="146">
        <f>COUNTIF($AL$95:$AL$99,"&lt;1")</f>
        <v>0</v>
      </c>
      <c r="AM120" s="70"/>
      <c r="AN120" s="70"/>
      <c r="AO120" s="70"/>
      <c r="AP120" s="70"/>
      <c r="AQ120" s="70"/>
      <c r="AR120" s="70"/>
      <c r="AS120" s="70"/>
      <c r="AT120" s="60"/>
      <c r="AU120" s="146">
        <f>COUNTIF($AU$102:$AU$105,"&lt;1")</f>
        <v>0</v>
      </c>
    </row>
    <row r="121" spans="1:53" hidden="1">
      <c r="B121" s="146">
        <f>COUNTIF($B$108:$B$111,"&lt;1")</f>
        <v>0</v>
      </c>
      <c r="J121" s="70"/>
      <c r="K121" s="146">
        <f>COUNTIF($K$107:$K$111,"&lt;1")</f>
        <v>0</v>
      </c>
      <c r="L121" s="70"/>
      <c r="M121" s="70"/>
      <c r="N121" s="70"/>
      <c r="O121" s="70"/>
      <c r="P121" s="70"/>
      <c r="Q121" s="70"/>
      <c r="R121" s="70"/>
      <c r="S121" s="70"/>
      <c r="T121" s="146">
        <f>COUNTIF($T$107:$T$111,"&lt;1")</f>
        <v>0</v>
      </c>
      <c r="U121" s="198"/>
      <c r="V121" s="137">
        <f t="shared" si="9"/>
        <v>0</v>
      </c>
      <c r="W121" s="137"/>
      <c r="X121" s="137"/>
      <c r="Y121" s="137"/>
      <c r="Z121" s="137"/>
      <c r="AA121" s="59" t="e">
        <f t="shared" si="5"/>
        <v>#REF!</v>
      </c>
      <c r="AB121" s="70"/>
      <c r="AC121" s="146">
        <f>COUNTIF($AC$108:$AC$111,"&lt;1")</f>
        <v>0</v>
      </c>
      <c r="AD121" s="70">
        <f t="shared" si="6"/>
        <v>0</v>
      </c>
      <c r="AE121" s="137">
        <f t="shared" si="10"/>
        <v>0</v>
      </c>
      <c r="AF121" s="137"/>
      <c r="AG121" s="137"/>
      <c r="AH121" s="137"/>
      <c r="AI121" s="137"/>
      <c r="AJ121" s="60">
        <f t="shared" si="8"/>
        <v>0</v>
      </c>
      <c r="AK121" s="70"/>
      <c r="AL121" s="146">
        <f>COUNTIF($AL$102:$AL$111,"&lt;1")</f>
        <v>0</v>
      </c>
      <c r="AM121" s="70"/>
      <c r="AN121" s="70"/>
      <c r="AO121" s="70"/>
      <c r="AP121" s="70"/>
      <c r="AQ121" s="70"/>
      <c r="AR121" s="70"/>
      <c r="AS121" s="70"/>
      <c r="AT121" s="70"/>
      <c r="AU121" s="146">
        <f>COUNTIF($AU$107:$AU$111,"&lt;1")</f>
        <v>0</v>
      </c>
    </row>
    <row r="122" spans="1:53" hidden="1">
      <c r="B122" s="147">
        <f>COUNTIF($B$72:$B$76,"&lt;32")</f>
        <v>2</v>
      </c>
      <c r="C122" s="73">
        <f>SUM(B122:B127)</f>
        <v>22</v>
      </c>
      <c r="J122" s="70"/>
      <c r="K122" s="147">
        <f>COUNTIF($K$72:$K$77,"&lt;29")</f>
        <v>6</v>
      </c>
      <c r="L122" s="73">
        <f>SUM(K122:K127)</f>
        <v>21</v>
      </c>
      <c r="R122" s="70"/>
      <c r="S122" s="70"/>
      <c r="T122" s="147">
        <f>COUNTIF($T$72:$T$78,"&lt;32")</f>
        <v>6</v>
      </c>
      <c r="U122" s="191">
        <f>SUM(T122:T127)</f>
        <v>23</v>
      </c>
      <c r="V122" s="137">
        <f t="shared" si="9"/>
        <v>0</v>
      </c>
      <c r="W122" s="137"/>
      <c r="X122" s="137"/>
      <c r="Y122" s="137"/>
      <c r="Z122" s="137"/>
      <c r="AA122" s="59">
        <f t="shared" si="5"/>
        <v>0</v>
      </c>
      <c r="AB122" s="70"/>
      <c r="AC122" s="147">
        <f>COUNTIF($AC$72:$AC$78,"&lt;31")</f>
        <v>3</v>
      </c>
      <c r="AD122" s="70">
        <f t="shared" si="6"/>
        <v>22</v>
      </c>
      <c r="AE122" s="137">
        <f t="shared" si="10"/>
        <v>0</v>
      </c>
      <c r="AF122" s="137"/>
      <c r="AG122" s="137"/>
      <c r="AH122" s="137"/>
      <c r="AI122" s="137"/>
      <c r="AJ122" s="60" t="e">
        <f t="shared" si="8"/>
        <v>#REF!</v>
      </c>
      <c r="AK122" s="70"/>
      <c r="AL122" s="147">
        <f>COUNTIF($AL$72:$AL$72,"&lt;32")</f>
        <v>1</v>
      </c>
      <c r="AM122" s="73">
        <f>SUM(AL122:AL127)</f>
        <v>24</v>
      </c>
      <c r="AN122" s="70"/>
      <c r="AO122" s="70"/>
      <c r="AP122" s="70"/>
      <c r="AQ122" s="70"/>
      <c r="AR122" s="70"/>
      <c r="AS122" s="70"/>
      <c r="AT122" s="70"/>
      <c r="AU122" s="147">
        <f>COUNTIF($AU$72:$AU$78,"&lt;31")</f>
        <v>5</v>
      </c>
      <c r="AV122" s="73">
        <f>SUM(AU122:AU127)</f>
        <v>22</v>
      </c>
    </row>
    <row r="123" spans="1:53" hidden="1">
      <c r="B123" s="147">
        <f>COUNTIF($B$80:$B$84,"&lt;32")</f>
        <v>5</v>
      </c>
      <c r="J123" s="70"/>
      <c r="K123" s="147">
        <f>COUNTIF($K$80:$K$84,"&lt;29")</f>
        <v>5</v>
      </c>
      <c r="L123" s="70"/>
      <c r="M123" s="70"/>
      <c r="N123" s="70"/>
      <c r="O123" s="70"/>
      <c r="P123" s="70"/>
      <c r="Q123" s="70"/>
      <c r="R123" s="70"/>
      <c r="S123" s="70"/>
      <c r="T123" s="147">
        <f>COUNTIF($T$81:$T$85,"&lt;32")</f>
        <v>5</v>
      </c>
      <c r="U123" s="198"/>
      <c r="V123" s="137">
        <f t="shared" si="9"/>
        <v>0</v>
      </c>
      <c r="W123" s="137"/>
      <c r="X123" s="137"/>
      <c r="Y123" s="137"/>
      <c r="Z123" s="137"/>
      <c r="AA123" s="115"/>
      <c r="AB123" s="70"/>
      <c r="AC123" s="147">
        <f>COUNTIF($AC$81:$AC$85,"&lt;31")</f>
        <v>5</v>
      </c>
      <c r="AD123" s="70">
        <f t="shared" si="6"/>
        <v>0</v>
      </c>
      <c r="AE123" s="137">
        <f t="shared" si="10"/>
        <v>0</v>
      </c>
      <c r="AF123" s="137"/>
      <c r="AG123" s="137"/>
      <c r="AH123" s="137"/>
      <c r="AI123" s="137"/>
      <c r="AJ123" s="70"/>
      <c r="AK123" s="70"/>
      <c r="AL123" s="147">
        <f>COUNTIF($AL$74:$AL$78,"&lt;32")</f>
        <v>1</v>
      </c>
      <c r="AM123" s="70"/>
      <c r="AN123" s="70"/>
      <c r="AO123" s="70"/>
      <c r="AP123" s="70"/>
      <c r="AQ123" s="70"/>
      <c r="AR123" s="70"/>
      <c r="AS123" s="70"/>
      <c r="AT123" s="70"/>
      <c r="AU123" s="147">
        <f>COUNTIF($AU$81:$AU$85,"&lt;31")</f>
        <v>5</v>
      </c>
    </row>
    <row r="124" spans="1:53" hidden="1">
      <c r="B124" s="147">
        <f>COUNTIF($B$87:$B$91,"&lt;32")</f>
        <v>5</v>
      </c>
      <c r="J124" s="70"/>
      <c r="K124" s="147">
        <f>COUNTIF($K$87:$K$91,"&lt;29")</f>
        <v>5</v>
      </c>
      <c r="L124" s="70"/>
      <c r="M124" s="70"/>
      <c r="N124" s="70"/>
      <c r="O124" s="70"/>
      <c r="P124" s="70"/>
      <c r="Q124" s="70"/>
      <c r="R124" s="70"/>
      <c r="S124" s="70"/>
      <c r="T124" s="147">
        <f>COUNTIF($T$88:$T$92,"&lt;32")</f>
        <v>5</v>
      </c>
      <c r="U124" s="198"/>
      <c r="V124" s="137">
        <f t="shared" si="9"/>
        <v>0</v>
      </c>
      <c r="W124" s="137"/>
      <c r="X124" s="137"/>
      <c r="Y124" s="137"/>
      <c r="Z124" s="137"/>
      <c r="AA124" s="115"/>
      <c r="AB124" s="70"/>
      <c r="AC124" s="147">
        <f>COUNTIF($AC$88:$AC$92,"&lt;31")</f>
        <v>5</v>
      </c>
      <c r="AD124" s="70">
        <f t="shared" si="6"/>
        <v>0</v>
      </c>
      <c r="AE124" s="137">
        <f t="shared" si="10"/>
        <v>0</v>
      </c>
      <c r="AF124" s="137"/>
      <c r="AG124" s="137"/>
      <c r="AH124" s="137"/>
      <c r="AI124" s="137"/>
      <c r="AJ124" s="70"/>
      <c r="AK124" s="70"/>
      <c r="AL124" s="147">
        <f>COUNTIF($AL$81:$AL$85,"&lt;32")</f>
        <v>5</v>
      </c>
      <c r="AM124" s="70"/>
      <c r="AN124" s="70"/>
      <c r="AO124" s="70"/>
      <c r="AP124" s="70"/>
      <c r="AQ124" s="70"/>
      <c r="AR124" s="70"/>
      <c r="AS124" s="70"/>
      <c r="AT124" s="70"/>
      <c r="AU124" s="147">
        <f>COUNTIF($AU$88:$AU$92,"&lt;31")</f>
        <v>5</v>
      </c>
    </row>
    <row r="125" spans="1:53" hidden="1">
      <c r="B125" s="147">
        <f>COUNTIF($B$94:$B$98,"&lt;32")</f>
        <v>5</v>
      </c>
      <c r="J125" s="70"/>
      <c r="K125" s="147">
        <f>COUNTIF($K$94:$K$98,"&lt;29")</f>
        <v>5</v>
      </c>
      <c r="L125" s="70"/>
      <c r="M125" s="70"/>
      <c r="N125" s="70"/>
      <c r="O125" s="70"/>
      <c r="P125" s="70"/>
      <c r="Q125" s="70"/>
      <c r="R125" s="70"/>
      <c r="S125" s="70"/>
      <c r="T125" s="147">
        <f>COUNTIF($T$95:$T$99,"&lt;32")</f>
        <v>5</v>
      </c>
      <c r="U125" s="198"/>
      <c r="V125" s="137">
        <f t="shared" si="9"/>
        <v>0</v>
      </c>
      <c r="W125" s="137"/>
      <c r="X125" s="137"/>
      <c r="Y125" s="137"/>
      <c r="Z125" s="137"/>
      <c r="AA125" s="115"/>
      <c r="AB125" s="70"/>
      <c r="AC125" s="147">
        <f>COUNTIF($AC$95:$AC$99,"&lt;31")</f>
        <v>5</v>
      </c>
      <c r="AD125" s="70">
        <f t="shared" si="6"/>
        <v>0</v>
      </c>
      <c r="AE125" s="137">
        <f t="shared" si="10"/>
        <v>0</v>
      </c>
      <c r="AF125" s="137"/>
      <c r="AG125" s="137"/>
      <c r="AH125" s="137"/>
      <c r="AI125" s="137"/>
      <c r="AJ125" s="70"/>
      <c r="AK125" s="70"/>
      <c r="AL125" s="147">
        <f>COUNTIF($AL$88:$AL$92,"&lt;32")</f>
        <v>5</v>
      </c>
      <c r="AM125" s="70"/>
      <c r="AN125" s="70"/>
      <c r="AO125" s="70"/>
      <c r="AP125" s="70"/>
      <c r="AQ125" s="70"/>
      <c r="AR125" s="70"/>
      <c r="AS125" s="70"/>
      <c r="AT125" s="70"/>
      <c r="AU125" s="147">
        <f>COUNTIF($AU$95:$AU$99,"&lt;31")</f>
        <v>5</v>
      </c>
    </row>
    <row r="126" spans="1:53" hidden="1">
      <c r="B126" s="147">
        <f>COUNTIF($B$101:$B$105,"&lt;32")</f>
        <v>5</v>
      </c>
      <c r="J126" s="70"/>
      <c r="K126" s="147">
        <f>COUNTIF($K$101:$K$104,"&lt;29")</f>
        <v>0</v>
      </c>
      <c r="L126" s="70"/>
      <c r="M126" s="70"/>
      <c r="N126" s="70"/>
      <c r="O126" s="70"/>
      <c r="P126" s="70"/>
      <c r="Q126" s="70"/>
      <c r="R126" s="70"/>
      <c r="S126" s="70"/>
      <c r="T126" s="147">
        <f>COUNTIF($T$102:$T$105,"&lt;32")</f>
        <v>2</v>
      </c>
      <c r="U126" s="198"/>
      <c r="V126" s="137">
        <f t="shared" si="9"/>
        <v>0</v>
      </c>
      <c r="W126" s="137"/>
      <c r="X126" s="137"/>
      <c r="Y126" s="137"/>
      <c r="Z126" s="137"/>
      <c r="AA126" s="115"/>
      <c r="AB126" s="70"/>
      <c r="AC126" s="147">
        <f>COUNTIF($AC$102:$AC$106,"&lt;31")</f>
        <v>4</v>
      </c>
      <c r="AD126" s="70">
        <f t="shared" si="6"/>
        <v>0</v>
      </c>
      <c r="AE126" s="137">
        <f t="shared" si="10"/>
        <v>0</v>
      </c>
      <c r="AF126" s="137"/>
      <c r="AG126" s="137"/>
      <c r="AH126" s="137"/>
      <c r="AI126" s="137"/>
      <c r="AJ126" s="70"/>
      <c r="AK126" s="70"/>
      <c r="AL126" s="147">
        <f>COUNTIF($AL$95:$AL$99,"&lt;32")</f>
        <v>5</v>
      </c>
      <c r="AM126" s="70"/>
      <c r="AN126" s="70"/>
      <c r="AO126" s="70"/>
      <c r="AP126" s="70"/>
      <c r="AQ126" s="70"/>
      <c r="AR126" s="70"/>
      <c r="AS126" s="70"/>
      <c r="AT126" s="70"/>
      <c r="AU126" s="147">
        <f>COUNTIF($AU$102:$AU$105,"&lt;31")</f>
        <v>2</v>
      </c>
    </row>
    <row r="127" spans="1:53" hidden="1">
      <c r="B127" s="147">
        <f>COUNTIF($B$108:$B$111,"&lt;32")</f>
        <v>0</v>
      </c>
      <c r="J127" s="70"/>
      <c r="K127" s="147">
        <f>COUNTIF($K$107:$K$111,"&lt;29")</f>
        <v>0</v>
      </c>
      <c r="L127" s="70"/>
      <c r="M127" s="70"/>
      <c r="N127" s="70"/>
      <c r="O127" s="70"/>
      <c r="P127" s="70"/>
      <c r="Q127" s="70"/>
      <c r="R127" s="70"/>
      <c r="S127" s="70"/>
      <c r="T127" s="147">
        <f>COUNTIF($T$107:$T$111,"&lt;32")</f>
        <v>0</v>
      </c>
      <c r="U127" s="198"/>
      <c r="V127" s="137">
        <f t="shared" si="9"/>
        <v>0</v>
      </c>
      <c r="W127" s="137"/>
      <c r="X127" s="137"/>
      <c r="Y127" s="137"/>
      <c r="Z127" s="137"/>
      <c r="AA127" s="115"/>
      <c r="AB127" s="70"/>
      <c r="AC127" s="147">
        <f>COUNTIF($AC$108:$AC$111,"&lt;31")</f>
        <v>0</v>
      </c>
      <c r="AD127" s="70">
        <f t="shared" si="6"/>
        <v>0</v>
      </c>
      <c r="AE127" s="137">
        <f t="shared" si="10"/>
        <v>0</v>
      </c>
      <c r="AF127" s="137"/>
      <c r="AG127" s="137"/>
      <c r="AH127" s="137"/>
      <c r="AI127" s="137"/>
      <c r="AJ127" s="70"/>
      <c r="AK127" s="70"/>
      <c r="AL127" s="147">
        <f>COUNTIF($AL$102:$AL$111,"&lt;32")</f>
        <v>7</v>
      </c>
      <c r="AM127" s="70"/>
      <c r="AN127" s="70"/>
      <c r="AO127" s="70"/>
      <c r="AP127" s="70"/>
      <c r="AQ127" s="70"/>
      <c r="AR127" s="70"/>
      <c r="AS127" s="70"/>
      <c r="AT127" s="70"/>
      <c r="AU127" s="147">
        <f>COUNTIF($AU$107:$AU$111,"&lt;31")</f>
        <v>0</v>
      </c>
    </row>
    <row r="128" spans="1:53" hidden="1">
      <c r="B128" s="146">
        <f>COUNTIF($B$72:$B$76,"1")</f>
        <v>1</v>
      </c>
      <c r="C128" s="73">
        <f>SUM(B128:B133)</f>
        <v>1</v>
      </c>
      <c r="J128" s="70"/>
      <c r="K128" s="146">
        <f>COUNTIF($K$72:$K$77,"29")</f>
        <v>0</v>
      </c>
      <c r="L128" s="73">
        <f>SUM(K128:K133)</f>
        <v>0</v>
      </c>
      <c r="M128" s="70"/>
      <c r="N128" s="70"/>
      <c r="O128" s="70"/>
      <c r="P128" s="70"/>
      <c r="Q128" s="70"/>
      <c r="R128" s="70"/>
      <c r="S128" s="70"/>
      <c r="T128" s="146">
        <f>IF($I$25=3,COUNTIF($T$72:$T$78,$A$34),0)</f>
        <v>0</v>
      </c>
      <c r="U128" s="191">
        <f>SUM(T128:T133)</f>
        <v>0</v>
      </c>
      <c r="V128" s="137">
        <f t="shared" si="9"/>
        <v>0</v>
      </c>
      <c r="W128" s="137"/>
      <c r="X128" s="137"/>
      <c r="Y128" s="137"/>
      <c r="Z128" s="137"/>
      <c r="AA128" s="115"/>
      <c r="AB128" s="70"/>
      <c r="AC128" s="146" t="e">
        <f>IF($A$34&gt;31,COUNTIF($AC$72:$AC$78,$S$34),0)</f>
        <v>#REF!</v>
      </c>
      <c r="AD128" s="70">
        <f t="shared" si="6"/>
        <v>1</v>
      </c>
      <c r="AE128" s="137">
        <f t="shared" si="10"/>
        <v>0</v>
      </c>
      <c r="AF128" s="137"/>
      <c r="AG128" s="137"/>
      <c r="AH128" s="137"/>
      <c r="AI128" s="137"/>
      <c r="AJ128" s="70"/>
      <c r="AK128" s="70"/>
      <c r="AL128" s="146">
        <f>COUNTIF($AL$72:$AL$72,"1")</f>
        <v>0</v>
      </c>
      <c r="AM128" s="73">
        <f>SUM(AL128:AL133)</f>
        <v>1</v>
      </c>
      <c r="AN128" s="70"/>
      <c r="AO128" s="70"/>
      <c r="AP128" s="70"/>
      <c r="AQ128" s="70"/>
      <c r="AR128" s="70"/>
      <c r="AS128" s="70"/>
      <c r="AT128" s="70"/>
      <c r="AU128" s="146">
        <f>COUNTIF($AU$72:$AU$78,"1")</f>
        <v>1</v>
      </c>
    </row>
    <row r="129" spans="2:47" hidden="1">
      <c r="B129" s="146">
        <f>COUNTIF($B$80:$B$84,"1")</f>
        <v>0</v>
      </c>
      <c r="J129" s="70"/>
      <c r="K129" s="146">
        <f>COUNTIF($K$80:$K$84,"29")</f>
        <v>0</v>
      </c>
      <c r="L129" s="70"/>
      <c r="M129" s="70"/>
      <c r="N129" s="70"/>
      <c r="O129" s="70"/>
      <c r="P129" s="70"/>
      <c r="Q129" s="70"/>
      <c r="R129" s="70"/>
      <c r="S129" s="70"/>
      <c r="T129" s="146">
        <f>IF($I$25=3,COUNTIF($T$81:$T$85,$A$34),0)</f>
        <v>0</v>
      </c>
      <c r="U129" s="198"/>
      <c r="V129" s="137">
        <f t="shared" si="9"/>
        <v>0</v>
      </c>
      <c r="W129" s="137"/>
      <c r="X129" s="137"/>
      <c r="Y129" s="137"/>
      <c r="Z129" s="137"/>
      <c r="AA129" s="115"/>
      <c r="AB129" s="70"/>
      <c r="AC129" s="146" t="e">
        <f>IF($A$34&gt;31,COUNTIF($AC$81:$AC$85,$S$34),0)</f>
        <v>#REF!</v>
      </c>
      <c r="AD129" s="70">
        <f t="shared" si="6"/>
        <v>0</v>
      </c>
      <c r="AE129" s="137">
        <f t="shared" si="10"/>
        <v>0</v>
      </c>
      <c r="AF129" s="137"/>
      <c r="AG129" s="137"/>
      <c r="AH129" s="137"/>
      <c r="AI129" s="137"/>
      <c r="AJ129" s="70"/>
      <c r="AK129" s="70"/>
      <c r="AL129" s="146">
        <f>COUNTIF($AL$74:$AL$78,"1")</f>
        <v>1</v>
      </c>
      <c r="AM129" s="70"/>
      <c r="AN129" s="70"/>
      <c r="AO129" s="70"/>
      <c r="AP129" s="70"/>
      <c r="AQ129" s="70"/>
      <c r="AR129" s="70"/>
      <c r="AS129" s="70"/>
      <c r="AT129" s="70"/>
      <c r="AU129" s="146">
        <f>COUNTIF($AU$81:$AU$85,"1")</f>
        <v>0</v>
      </c>
    </row>
    <row r="130" spans="2:47" hidden="1">
      <c r="B130" s="146">
        <f>COUNTIF($B$87:$B$91,"1")</f>
        <v>0</v>
      </c>
      <c r="J130" s="70"/>
      <c r="K130" s="146">
        <f>COUNTIF($K$87:$K$91,"29")</f>
        <v>0</v>
      </c>
      <c r="L130" s="70"/>
      <c r="M130" s="70"/>
      <c r="N130" s="70"/>
      <c r="O130" s="70"/>
      <c r="P130" s="70"/>
      <c r="Q130" s="70"/>
      <c r="R130" s="70"/>
      <c r="S130" s="70"/>
      <c r="T130" s="146">
        <f>IF($I$25=3,COUNTIF($T$88:$T$92,$A$34),0)</f>
        <v>0</v>
      </c>
      <c r="U130" s="198"/>
      <c r="V130" s="137">
        <f t="shared" si="9"/>
        <v>0</v>
      </c>
      <c r="W130" s="137"/>
      <c r="X130" s="137"/>
      <c r="Y130" s="137"/>
      <c r="Z130" s="137"/>
      <c r="AA130" s="115"/>
      <c r="AB130" s="70"/>
      <c r="AC130" s="146" t="e">
        <f>IF($A$34&gt;31,COUNTIF($AC$88:$AC$92,$S$34),0)</f>
        <v>#REF!</v>
      </c>
      <c r="AD130" s="70">
        <f t="shared" si="6"/>
        <v>0</v>
      </c>
      <c r="AE130" s="137">
        <f t="shared" si="10"/>
        <v>0</v>
      </c>
      <c r="AF130" s="137"/>
      <c r="AG130" s="137"/>
      <c r="AH130" s="137"/>
      <c r="AI130" s="137"/>
      <c r="AJ130" s="70"/>
      <c r="AK130" s="70"/>
      <c r="AL130" s="146">
        <f>COUNTIF($AL$81:$AL$85,"1")</f>
        <v>0</v>
      </c>
      <c r="AM130" s="70"/>
      <c r="AN130" s="70"/>
      <c r="AO130" s="70"/>
      <c r="AP130" s="70"/>
      <c r="AQ130" s="70"/>
      <c r="AR130" s="70"/>
      <c r="AS130" s="70"/>
      <c r="AT130" s="70"/>
      <c r="AU130" s="146">
        <f>COUNTIF($AU$88:$AU$92,"1")</f>
        <v>0</v>
      </c>
    </row>
    <row r="131" spans="2:47" hidden="1">
      <c r="B131" s="146">
        <f>COUNTIF($B$94:$B$98,"1")</f>
        <v>0</v>
      </c>
      <c r="J131" s="70"/>
      <c r="K131" s="146">
        <f>COUNTIF($K$94:$K$98,"29")</f>
        <v>0</v>
      </c>
      <c r="L131" s="70"/>
      <c r="M131" s="70"/>
      <c r="N131" s="70"/>
      <c r="O131" s="70"/>
      <c r="P131" s="70"/>
      <c r="Q131" s="70"/>
      <c r="R131" s="70"/>
      <c r="S131" s="70"/>
      <c r="T131" s="146">
        <f>IF($I$25=3,COUNTIF($T$95:$T$99,$A$34),0)</f>
        <v>0</v>
      </c>
      <c r="U131" s="198"/>
      <c r="V131" s="137">
        <f t="shared" si="9"/>
        <v>0</v>
      </c>
      <c r="W131" s="137"/>
      <c r="X131" s="137"/>
      <c r="Y131" s="137"/>
      <c r="Z131" s="137"/>
      <c r="AA131" s="115"/>
      <c r="AB131" s="70"/>
      <c r="AC131" s="146" t="e">
        <f>IF($A$34&gt;31,COUNTIF($AC$95:$AC$99,$S$34),0)</f>
        <v>#REF!</v>
      </c>
      <c r="AD131" s="70">
        <f t="shared" si="6"/>
        <v>0</v>
      </c>
      <c r="AE131" s="137">
        <f t="shared" si="10"/>
        <v>0</v>
      </c>
      <c r="AF131" s="137"/>
      <c r="AG131" s="137"/>
      <c r="AH131" s="137"/>
      <c r="AI131" s="137"/>
      <c r="AJ131" s="70"/>
      <c r="AK131" s="70"/>
      <c r="AL131" s="146">
        <f>COUNTIF($AL$88:$AL$92,"1")</f>
        <v>0</v>
      </c>
      <c r="AM131" s="70"/>
      <c r="AN131" s="70"/>
      <c r="AO131" s="70"/>
      <c r="AP131" s="70"/>
      <c r="AQ131" s="70"/>
      <c r="AR131" s="70"/>
      <c r="AS131" s="70"/>
      <c r="AT131" s="70"/>
      <c r="AU131" s="146">
        <f>COUNTIF($AU$95:$AU$99,"1")</f>
        <v>0</v>
      </c>
    </row>
    <row r="132" spans="2:47" hidden="1">
      <c r="B132" s="146">
        <f>COUNTIF($B$101:$B$105,"1")</f>
        <v>0</v>
      </c>
      <c r="J132" s="70"/>
      <c r="K132" s="146">
        <f>COUNTIF($K$101:$K$104,"29")</f>
        <v>0</v>
      </c>
      <c r="L132" s="70"/>
      <c r="M132" s="70"/>
      <c r="N132" s="70"/>
      <c r="O132" s="70"/>
      <c r="P132" s="70"/>
      <c r="Q132" s="70"/>
      <c r="R132" s="70"/>
      <c r="S132" s="70"/>
      <c r="T132" s="146">
        <f>IF($I$25=3,COUNTIF($T$102:$T$105,$A$34),0)</f>
        <v>0</v>
      </c>
      <c r="U132" s="198"/>
      <c r="V132" s="137">
        <f t="shared" si="9"/>
        <v>0</v>
      </c>
      <c r="W132" s="137"/>
      <c r="X132" s="137"/>
      <c r="Y132" s="137"/>
      <c r="Z132" s="137"/>
      <c r="AA132" s="115"/>
      <c r="AB132" s="70"/>
      <c r="AC132" s="146" t="e">
        <f>IF($A$34&gt;31,COUNTIF($AC$102:$AC$106,$S$34),0)</f>
        <v>#REF!</v>
      </c>
      <c r="AD132" s="70">
        <f t="shared" si="6"/>
        <v>0</v>
      </c>
      <c r="AE132" s="137">
        <f t="shared" si="10"/>
        <v>0</v>
      </c>
      <c r="AF132" s="137"/>
      <c r="AG132" s="137"/>
      <c r="AH132" s="137"/>
      <c r="AI132" s="137"/>
      <c r="AJ132" s="70"/>
      <c r="AK132" s="70"/>
      <c r="AL132" s="146">
        <f>COUNTIF($AL$95:$AL$99,"1")</f>
        <v>0</v>
      </c>
      <c r="AM132" s="70"/>
      <c r="AN132" s="70"/>
      <c r="AO132" s="70"/>
      <c r="AP132" s="70"/>
      <c r="AQ132" s="70"/>
      <c r="AR132" s="70"/>
      <c r="AS132" s="70"/>
      <c r="AT132" s="70"/>
      <c r="AU132" s="146">
        <f>COUNTIF($AU$102:$AU$105,"1")</f>
        <v>0</v>
      </c>
    </row>
    <row r="133" spans="2:47" hidden="1">
      <c r="B133" s="146">
        <f>COUNTIF($B$108:$B$111,"1")</f>
        <v>0</v>
      </c>
      <c r="J133" s="70"/>
      <c r="K133" s="146">
        <f>COUNTIF($K$107:$K$111,"29")</f>
        <v>0</v>
      </c>
      <c r="L133" s="70"/>
      <c r="M133" s="70"/>
      <c r="N133" s="70"/>
      <c r="O133" s="70"/>
      <c r="P133" s="70"/>
      <c r="Q133" s="70"/>
      <c r="R133" s="70"/>
      <c r="S133" s="70"/>
      <c r="T133" s="146">
        <f>IF($I$25=3,COUNTIF($T$107:$T$111,$A$34),0)</f>
        <v>0</v>
      </c>
      <c r="U133" s="198"/>
      <c r="V133" s="137">
        <f t="shared" si="9"/>
        <v>0</v>
      </c>
      <c r="W133" s="137"/>
      <c r="X133" s="137"/>
      <c r="Y133" s="137"/>
      <c r="Z133" s="137"/>
      <c r="AA133" s="115"/>
      <c r="AB133" s="70"/>
      <c r="AC133" s="146" t="e">
        <f>IF($A$34&gt;31,COUNTIF($AC$108:$AC$111,$S$34),0)</f>
        <v>#REF!</v>
      </c>
      <c r="AD133" s="70">
        <f t="shared" si="6"/>
        <v>0</v>
      </c>
      <c r="AE133" s="137">
        <f t="shared" si="10"/>
        <v>0</v>
      </c>
      <c r="AF133" s="137"/>
      <c r="AG133" s="137"/>
      <c r="AH133" s="137"/>
      <c r="AI133" s="137"/>
      <c r="AJ133" s="70"/>
      <c r="AK133" s="70"/>
      <c r="AL133" s="146">
        <f>COUNTIF($AL$102:$AL$111,"1")</f>
        <v>0</v>
      </c>
      <c r="AM133" s="70"/>
      <c r="AN133" s="70"/>
      <c r="AO133" s="70"/>
      <c r="AP133" s="70"/>
      <c r="AQ133" s="70"/>
      <c r="AR133" s="70"/>
      <c r="AS133" s="70"/>
      <c r="AT133" s="70"/>
      <c r="AU133" s="146">
        <f>COUNTIF($AU$107:$AU$111,"1")</f>
        <v>0</v>
      </c>
    </row>
    <row r="134" spans="2:47" hidden="1">
      <c r="B134" s="147">
        <f>COUNTIF($B$72:$B$76,"6")</f>
        <v>0</v>
      </c>
      <c r="C134" s="73">
        <f>SUM(B134:B139)</f>
        <v>1</v>
      </c>
      <c r="J134" s="70"/>
      <c r="K134" s="147">
        <f>COUNTIF($K$72:$K$77,"6")</f>
        <v>1</v>
      </c>
      <c r="L134" s="70"/>
      <c r="M134" s="70"/>
      <c r="N134" s="70"/>
      <c r="O134" s="70"/>
      <c r="P134" s="70"/>
      <c r="Q134" s="70"/>
      <c r="R134" s="70"/>
      <c r="S134" s="70"/>
      <c r="T134" s="147">
        <f>IF($I$25=3,COUNTIF($T$72:$T$78,$A$35),0)</f>
        <v>0</v>
      </c>
      <c r="U134" s="191">
        <f>SUM(T134:T139)</f>
        <v>0</v>
      </c>
      <c r="V134" s="137">
        <f t="shared" si="9"/>
        <v>0</v>
      </c>
      <c r="W134" s="137"/>
      <c r="X134" s="137"/>
      <c r="Y134" s="137"/>
      <c r="Z134" s="137"/>
      <c r="AA134" s="115"/>
      <c r="AB134" s="70"/>
      <c r="AC134" s="148">
        <f>IF($I$25=4,COUNTIF($AC$72:$AC$78,$S$34),0)</f>
        <v>0</v>
      </c>
      <c r="AD134" s="70">
        <f t="shared" si="6"/>
        <v>1</v>
      </c>
      <c r="AE134" s="137">
        <f t="shared" si="10"/>
        <v>0</v>
      </c>
      <c r="AF134" s="137"/>
      <c r="AG134" s="137"/>
      <c r="AH134" s="137"/>
      <c r="AI134" s="137"/>
      <c r="AJ134" s="70"/>
      <c r="AK134" s="70"/>
      <c r="AL134" s="147">
        <f>COUNTIF($AL$72:$AL$72,"8")</f>
        <v>0</v>
      </c>
      <c r="AM134" s="73">
        <f>SUM(AL134:AL139)</f>
        <v>1</v>
      </c>
      <c r="AN134" s="70"/>
      <c r="AO134" s="70"/>
      <c r="AP134" s="70"/>
      <c r="AQ134" s="70"/>
      <c r="AR134" s="70"/>
      <c r="AS134" s="70"/>
      <c r="AT134" s="70"/>
      <c r="AU134" s="147">
        <f>COUNTIF($AU$72:$AU$78,"6")</f>
        <v>0</v>
      </c>
    </row>
    <row r="135" spans="2:47" hidden="1">
      <c r="B135" s="147">
        <f>COUNTIF($B$80:$B$84,"6")</f>
        <v>1</v>
      </c>
      <c r="J135" s="70"/>
      <c r="K135" s="147">
        <f>COUNTIF($K$80:$K$84,"6")</f>
        <v>0</v>
      </c>
      <c r="L135" s="70"/>
      <c r="M135" s="70"/>
      <c r="N135" s="70"/>
      <c r="O135" s="70"/>
      <c r="P135" s="70"/>
      <c r="Q135" s="70"/>
      <c r="R135" s="70"/>
      <c r="S135" s="70"/>
      <c r="T135" s="147">
        <f>IF($I$25=3,COUNTIF($T$81:$T$85,$A$35),0)</f>
        <v>0</v>
      </c>
      <c r="U135" s="198"/>
      <c r="V135" s="137">
        <f t="shared" si="9"/>
        <v>0</v>
      </c>
      <c r="W135" s="137"/>
      <c r="X135" s="137"/>
      <c r="Y135" s="137"/>
      <c r="Z135" s="137"/>
      <c r="AA135" s="115"/>
      <c r="AB135" s="70"/>
      <c r="AC135" s="148">
        <f>IF($I$25=4,COUNTIF($AC$81:$AC$85,$S$34),0)</f>
        <v>0</v>
      </c>
      <c r="AD135" s="70">
        <f t="shared" si="6"/>
        <v>0</v>
      </c>
      <c r="AE135" s="137">
        <f t="shared" si="10"/>
        <v>0</v>
      </c>
      <c r="AF135" s="137"/>
      <c r="AG135" s="137"/>
      <c r="AH135" s="137"/>
      <c r="AI135" s="137"/>
      <c r="AJ135" s="70"/>
      <c r="AK135" s="70"/>
      <c r="AL135" s="147">
        <f>COUNTIF($AL$74:$AL$78,"8")</f>
        <v>0</v>
      </c>
      <c r="AM135" s="70"/>
      <c r="AN135" s="70"/>
      <c r="AO135" s="70"/>
      <c r="AP135" s="70"/>
      <c r="AQ135" s="70"/>
      <c r="AR135" s="70"/>
      <c r="AS135" s="70"/>
      <c r="AT135" s="70"/>
      <c r="AU135" s="147">
        <f>COUNTIF($AU$81:$AU$85,"6")</f>
        <v>0</v>
      </c>
    </row>
    <row r="136" spans="2:47" hidden="1">
      <c r="B136" s="147">
        <f>COUNTIF($B$87:$B$91,"6")</f>
        <v>0</v>
      </c>
      <c r="K136" s="147">
        <f>COUNTIF($K$87:$K$91,"6")</f>
        <v>0</v>
      </c>
      <c r="T136" s="147">
        <f>IF($I$25=3,COUNTIF($T$88:$T$92,$A$35),0)</f>
        <v>0</v>
      </c>
      <c r="V136" s="137">
        <f t="shared" si="9"/>
        <v>0</v>
      </c>
      <c r="W136" s="137"/>
      <c r="X136" s="137"/>
      <c r="Y136" s="137"/>
      <c r="Z136" s="137"/>
      <c r="AA136" s="115"/>
      <c r="AC136" s="148">
        <f>IF($I$25=4,COUNTIF($AC$88:$AC$92,$S$34),0)</f>
        <v>0</v>
      </c>
      <c r="AD136" s="70">
        <f t="shared" si="6"/>
        <v>0</v>
      </c>
      <c r="AE136" s="137">
        <f t="shared" si="10"/>
        <v>0</v>
      </c>
      <c r="AF136" s="137"/>
      <c r="AG136" s="137"/>
      <c r="AH136" s="137"/>
      <c r="AI136" s="137"/>
      <c r="AJ136" s="70"/>
      <c r="AL136" s="147">
        <f>COUNTIF($AL$81:$AL$85,"8")</f>
        <v>1</v>
      </c>
      <c r="AU136" s="147">
        <f>COUNTIF($AU$88:$AU$92,"6")</f>
        <v>0</v>
      </c>
    </row>
    <row r="137" spans="2:47" hidden="1">
      <c r="B137" s="147">
        <f>COUNTIF($B$94:$B$98,"6")</f>
        <v>0</v>
      </c>
      <c r="K137" s="147">
        <f>COUNTIF($K$94:$K$98,"6")</f>
        <v>0</v>
      </c>
      <c r="T137" s="147">
        <f>IF($I$25=3,COUNTIF($T$95:$T$99,$A$35),0)</f>
        <v>0</v>
      </c>
      <c r="V137" s="137">
        <f t="shared" si="9"/>
        <v>1</v>
      </c>
      <c r="W137" s="137"/>
      <c r="X137" s="137"/>
      <c r="Y137" s="137"/>
      <c r="Z137" s="137"/>
      <c r="AA137" s="115"/>
      <c r="AC137" s="148">
        <f>IF($I$25=4,COUNTIF($AC$95:$AC$99,$S$34),0)</f>
        <v>0</v>
      </c>
      <c r="AD137" s="70">
        <f t="shared" si="6"/>
        <v>0</v>
      </c>
      <c r="AE137" s="137">
        <f t="shared" si="10"/>
        <v>0</v>
      </c>
      <c r="AF137" s="137"/>
      <c r="AG137" s="137"/>
      <c r="AH137" s="137"/>
      <c r="AI137" s="137"/>
      <c r="AJ137" s="70"/>
      <c r="AL137" s="147">
        <f>COUNTIF($AL$88:$AL$92,"8")</f>
        <v>0</v>
      </c>
      <c r="AU137" s="147">
        <f>COUNTIF($AU$95:$AU$99,"6")</f>
        <v>0</v>
      </c>
    </row>
    <row r="138" spans="2:47" hidden="1">
      <c r="B138" s="147">
        <f>COUNTIF($B$101:$B$105,"6")</f>
        <v>0</v>
      </c>
      <c r="K138" s="147">
        <f>COUNTIF($K$101:$K$104,"6")</f>
        <v>0</v>
      </c>
      <c r="T138" s="147">
        <f>IF($I$25=3,COUNTIF($T$102:$T$105,$A$35),0)</f>
        <v>0</v>
      </c>
      <c r="V138" s="137">
        <f t="shared" si="9"/>
        <v>0</v>
      </c>
      <c r="W138" s="137"/>
      <c r="X138" s="137"/>
      <c r="Y138" s="137"/>
      <c r="Z138" s="137"/>
      <c r="AA138" s="115"/>
      <c r="AC138" s="148">
        <f>IF($I$25=4,COUNTIF($AC$102:$AC$106,$S$34),0)</f>
        <v>0</v>
      </c>
      <c r="AD138" s="70">
        <f t="shared" si="6"/>
        <v>0</v>
      </c>
      <c r="AE138" s="137">
        <f t="shared" si="10"/>
        <v>0</v>
      </c>
      <c r="AF138" s="137"/>
      <c r="AG138" s="137"/>
      <c r="AH138" s="137"/>
      <c r="AI138" s="137"/>
      <c r="AJ138" s="70"/>
      <c r="AL138" s="147">
        <f>COUNTIF($AL$95:$AL$99,"8")</f>
        <v>0</v>
      </c>
      <c r="AU138" s="147">
        <f>COUNTIF($AU$102:$AU$105,"6")</f>
        <v>0</v>
      </c>
    </row>
    <row r="139" spans="2:47" hidden="1">
      <c r="B139" s="147">
        <f>COUNTIF($B$108:$B$111,"6")</f>
        <v>0</v>
      </c>
      <c r="K139" s="147">
        <f>COUNTIF($K$107:$K$111,"6")</f>
        <v>0</v>
      </c>
      <c r="T139" s="147">
        <f>IF($I$25=3,COUNTIF($T$107:$T$111,$A$35),0)</f>
        <v>0</v>
      </c>
      <c r="V139" s="137">
        <f t="shared" si="9"/>
        <v>0</v>
      </c>
      <c r="W139" s="137"/>
      <c r="X139" s="137"/>
      <c r="Y139" s="137"/>
      <c r="Z139" s="137"/>
      <c r="AA139" s="115"/>
      <c r="AC139" s="148">
        <f>IF($I$25=4,COUNTIF($AC$108:$AC$111,$S$34),0)</f>
        <v>0</v>
      </c>
      <c r="AD139" s="70">
        <f t="shared" si="6"/>
        <v>0</v>
      </c>
      <c r="AE139" s="137">
        <f t="shared" si="10"/>
        <v>0</v>
      </c>
      <c r="AF139" s="137"/>
      <c r="AG139" s="137"/>
      <c r="AH139" s="137"/>
      <c r="AI139" s="137"/>
      <c r="AJ139" s="70"/>
      <c r="AL139" s="147">
        <f>COUNTIF($AL$102:$AL$111,"8")</f>
        <v>0</v>
      </c>
      <c r="AU139" s="147">
        <f>COUNTIF($AU$107:$AU$111,"6")</f>
        <v>0</v>
      </c>
    </row>
    <row r="140" spans="2:47" hidden="1">
      <c r="B140" s="146">
        <f>COUNTIF($B$72:$B$76,"&lt;1")</f>
        <v>1</v>
      </c>
      <c r="K140" s="146">
        <f>COUNTIF($K$72:$K$77,"&lt;1")</f>
        <v>0</v>
      </c>
      <c r="T140" s="146">
        <f>COUNTIF($T$72:$T$78,"&lt;1")</f>
        <v>0</v>
      </c>
      <c r="V140" s="137">
        <f t="shared" si="9"/>
        <v>0</v>
      </c>
      <c r="W140" s="137"/>
      <c r="X140" s="137"/>
      <c r="Y140" s="137"/>
      <c r="Z140" s="137"/>
      <c r="AA140" s="115"/>
      <c r="AC140" s="146">
        <f>IF($I$25=4,COUNTIF($AC$72:$AC$78,$S$35),0)</f>
        <v>0</v>
      </c>
      <c r="AD140" s="70">
        <f t="shared" si="6"/>
        <v>0</v>
      </c>
      <c r="AE140" s="137">
        <f t="shared" si="10"/>
        <v>1</v>
      </c>
      <c r="AF140" s="137"/>
      <c r="AG140" s="137"/>
      <c r="AH140" s="137"/>
      <c r="AI140" s="137"/>
      <c r="AJ140" s="70"/>
      <c r="AL140" s="146">
        <f>COUNTIF($AL$72:$AL$72,"&lt;1")</f>
        <v>1</v>
      </c>
      <c r="AU140" s="146">
        <f>COUNTIF($AU$72:$AU$78,"&lt;1")</f>
        <v>0</v>
      </c>
    </row>
    <row r="141" spans="2:47" hidden="1">
      <c r="B141" s="146">
        <f>COUNTIF($B$80:$B$84,"&lt;1")</f>
        <v>0</v>
      </c>
      <c r="K141" s="146">
        <f>COUNTIF($K$80:$K$84,"&lt;1")</f>
        <v>0</v>
      </c>
      <c r="T141" s="146">
        <f>COUNTIF($T$81:$T$85,"&lt;1")</f>
        <v>0</v>
      </c>
      <c r="V141" s="137">
        <f t="shared" si="9"/>
        <v>0</v>
      </c>
      <c r="W141" s="137"/>
      <c r="X141" s="137"/>
      <c r="Y141" s="137"/>
      <c r="Z141" s="137"/>
      <c r="AA141" s="115"/>
      <c r="AC141" s="146">
        <f>IF($I$25=4,COUNTIF($AC$81:$AC$85,$S$35),0)</f>
        <v>0</v>
      </c>
      <c r="AD141" s="70">
        <f t="shared" si="6"/>
        <v>0</v>
      </c>
      <c r="AE141" s="137">
        <f t="shared" si="10"/>
        <v>0</v>
      </c>
      <c r="AF141" s="137"/>
      <c r="AG141" s="137"/>
      <c r="AH141" s="137"/>
      <c r="AI141" s="137"/>
      <c r="AJ141" s="70"/>
      <c r="AL141" s="146">
        <f>COUNTIF($AL$74:$AL$78,"&lt;1")</f>
        <v>0</v>
      </c>
      <c r="AU141" s="146">
        <f>COUNTIF($AU$81:$AU$85,"&lt;1")</f>
        <v>0</v>
      </c>
    </row>
    <row r="142" spans="2:47" hidden="1">
      <c r="B142" s="146">
        <f>COUNTIF($B$87:$B$91,"&lt;1")</f>
        <v>0</v>
      </c>
      <c r="K142" s="146">
        <f>COUNTIF($K$87:$K$91,"&lt;1")</f>
        <v>0</v>
      </c>
      <c r="T142" s="146">
        <f>COUNTIF($T$88:$T$92,"&lt;1")</f>
        <v>0</v>
      </c>
      <c r="V142" s="137">
        <f t="shared" si="9"/>
        <v>0</v>
      </c>
      <c r="W142" s="137"/>
      <c r="X142" s="137"/>
      <c r="Y142" s="137"/>
      <c r="Z142" s="137"/>
      <c r="AA142" s="115"/>
      <c r="AC142" s="146">
        <f>IF($I$25=4,COUNTIF($AC$88:$AC$92,$S$35),0)</f>
        <v>0</v>
      </c>
      <c r="AD142" s="70">
        <f t="shared" si="6"/>
        <v>0</v>
      </c>
      <c r="AE142" s="137">
        <f t="shared" si="10"/>
        <v>0</v>
      </c>
      <c r="AF142" s="137"/>
      <c r="AG142" s="137"/>
      <c r="AH142" s="137"/>
      <c r="AI142" s="137"/>
      <c r="AJ142" s="70"/>
      <c r="AL142" s="146">
        <f>COUNTIF($AL$81:$AL$85,"&lt;1")</f>
        <v>0</v>
      </c>
      <c r="AU142" s="146">
        <f>COUNTIF($AU$88:$AU$92,"&lt;1")</f>
        <v>0</v>
      </c>
    </row>
    <row r="143" spans="2:47" hidden="1">
      <c r="B143" s="146">
        <f>COUNTIF($B$94:$B$98,"&lt;1")</f>
        <v>0</v>
      </c>
      <c r="K143" s="146">
        <f>COUNTIF($K$94:$K$98,"&lt;1")</f>
        <v>0</v>
      </c>
      <c r="T143" s="146">
        <f>COUNTIF($T$95:$T$99,"&lt;1")</f>
        <v>0</v>
      </c>
      <c r="V143" s="137">
        <f t="shared" si="9"/>
        <v>0</v>
      </c>
      <c r="W143" s="137"/>
      <c r="X143" s="137"/>
      <c r="Y143" s="137"/>
      <c r="Z143" s="137"/>
      <c r="AA143" s="115"/>
      <c r="AC143" s="146">
        <f>IF($I$25=4,COUNTIF($AC$95:$AC$99,$S$35),0)</f>
        <v>0</v>
      </c>
      <c r="AD143" s="70">
        <f t="shared" si="6"/>
        <v>0</v>
      </c>
      <c r="AE143" s="137">
        <f t="shared" si="10"/>
        <v>0</v>
      </c>
      <c r="AF143" s="137"/>
      <c r="AG143" s="137"/>
      <c r="AH143" s="137"/>
      <c r="AI143" s="137"/>
      <c r="AJ143" s="70"/>
      <c r="AL143" s="146">
        <f>COUNTIF($AL$88:$AL$92,"&lt;1")</f>
        <v>0</v>
      </c>
      <c r="AU143" s="146">
        <f>COUNTIF($AU$95:$AU$99,"&lt;1")</f>
        <v>0</v>
      </c>
    </row>
    <row r="144" spans="2:47" hidden="1">
      <c r="B144" s="146">
        <f>COUNTIF($B$101:$B$105,"&lt;1")</f>
        <v>0</v>
      </c>
      <c r="K144" s="146">
        <f>COUNTIF($K$101:$K$104,"&lt;1")</f>
        <v>0</v>
      </c>
      <c r="T144" s="146">
        <f>COUNTIF($T$102:$T$105,"&lt;1")</f>
        <v>0</v>
      </c>
      <c r="V144" s="137">
        <f t="shared" si="9"/>
        <v>0</v>
      </c>
      <c r="W144" s="137"/>
      <c r="X144" s="137"/>
      <c r="Y144" s="137"/>
      <c r="Z144" s="137"/>
      <c r="AA144" s="115"/>
      <c r="AC144" s="146">
        <f>IF($I$25=4,COUNTIF($AC$102:$AC$106,$S$35),0)</f>
        <v>0</v>
      </c>
      <c r="AD144" s="70">
        <f t="shared" si="6"/>
        <v>0</v>
      </c>
      <c r="AE144" s="137">
        <f t="shared" si="10"/>
        <v>0</v>
      </c>
      <c r="AF144" s="137"/>
      <c r="AG144" s="137"/>
      <c r="AH144" s="137"/>
      <c r="AI144" s="137"/>
      <c r="AJ144" s="70"/>
      <c r="AL144" s="146">
        <f>COUNTIF($AL$95:$AL$99,"&lt;1")</f>
        <v>0</v>
      </c>
      <c r="AU144" s="146">
        <f>COUNTIF($AU$102:$AU$105,"&lt;1")</f>
        <v>0</v>
      </c>
    </row>
    <row r="145" spans="1:59" ht="15" hidden="1">
      <c r="B145" s="146">
        <f>COUNTIF($B$108:$B$111,"&lt;1")</f>
        <v>0</v>
      </c>
      <c r="K145" s="146">
        <f>COUNTIF($K$107:$K$111,"&lt;1")</f>
        <v>0</v>
      </c>
      <c r="T145" s="146">
        <f>COUNTIF($T$107:$T$111,"&lt;1")</f>
        <v>0</v>
      </c>
      <c r="V145" s="137">
        <f t="shared" si="9"/>
        <v>0</v>
      </c>
      <c r="W145" s="137"/>
      <c r="X145" s="137"/>
      <c r="Y145" s="137"/>
      <c r="Z145" s="137"/>
      <c r="AA145" s="115"/>
      <c r="AC145" s="146">
        <f>IF($I$25=4,COUNTIF($AC$108:$AC$111,$S$35),0)</f>
        <v>0</v>
      </c>
      <c r="AD145" s="70">
        <f t="shared" si="6"/>
        <v>0</v>
      </c>
      <c r="AE145" s="137">
        <f t="shared" si="10"/>
        <v>0</v>
      </c>
      <c r="AF145" s="137"/>
      <c r="AG145" s="137"/>
      <c r="AH145" s="137"/>
      <c r="AI145" s="137"/>
      <c r="AJ145" s="70"/>
      <c r="AL145" s="146">
        <f>COUNTIF($AL$102:$AL$111,"&lt;1")</f>
        <v>0</v>
      </c>
      <c r="AU145" s="146">
        <f>COUNTIF($AU$107:$AU$111,"&lt;1")</f>
        <v>0</v>
      </c>
      <c r="BF145" s="149"/>
      <c r="BG145" s="149"/>
    </row>
    <row r="146" spans="1:59" hidden="1">
      <c r="B146" s="147">
        <f>COUNTIF($B$72:$B$76,"&lt;1")</f>
        <v>1</v>
      </c>
      <c r="K146" s="147">
        <f>COUNTIF($K$72:$K$77,"&lt;1")</f>
        <v>0</v>
      </c>
      <c r="T146" s="147">
        <f>COUNTIF($T$72:$T$78,"&lt;1")</f>
        <v>0</v>
      </c>
      <c r="V146" s="137">
        <f t="shared" si="9"/>
        <v>0</v>
      </c>
      <c r="W146" s="137"/>
      <c r="X146" s="137"/>
      <c r="Y146" s="137"/>
      <c r="Z146" s="137"/>
      <c r="AA146" s="115"/>
      <c r="AC146" s="147" t="e">
        <f>IF($A$35&gt;31,COUNTIF($AC$72:$AC$78,$S$35),0)</f>
        <v>#REF!</v>
      </c>
      <c r="AD146" s="70">
        <f t="shared" si="6"/>
        <v>0</v>
      </c>
      <c r="AE146" s="137">
        <f t="shared" si="10"/>
        <v>0</v>
      </c>
      <c r="AF146" s="137"/>
      <c r="AG146" s="137"/>
      <c r="AH146" s="137"/>
      <c r="AI146" s="137"/>
      <c r="AJ146" s="70"/>
      <c r="AL146" s="147">
        <f>COUNTIF($AL$72:$AL$72,"&lt;1")</f>
        <v>1</v>
      </c>
      <c r="AU146" s="147">
        <f>COUNTIF($AU$72:$AU$78,"&lt;1")</f>
        <v>0</v>
      </c>
    </row>
    <row r="147" spans="1:59" hidden="1">
      <c r="B147" s="147">
        <f>COUNTIF($B$80:$B$84,"&lt;1")</f>
        <v>0</v>
      </c>
      <c r="K147" s="147">
        <f>COUNTIF($K$80:$K$84,"&lt;1")</f>
        <v>0</v>
      </c>
      <c r="T147" s="147">
        <f>COUNTIF($T$81:$T$85,"&lt;1")</f>
        <v>0</v>
      </c>
      <c r="V147" s="137">
        <f t="shared" si="9"/>
        <v>0</v>
      </c>
      <c r="W147" s="137"/>
      <c r="X147" s="137"/>
      <c r="Y147" s="137"/>
      <c r="Z147" s="137"/>
      <c r="AA147" s="115"/>
      <c r="AC147" s="147" t="e">
        <f>IF($A$35&gt;31,COUNTIF($AC$81:$AC$85,$S$35),0)</f>
        <v>#REF!</v>
      </c>
      <c r="AD147" s="70">
        <f t="shared" si="6"/>
        <v>0</v>
      </c>
      <c r="AE147" s="137">
        <f t="shared" si="10"/>
        <v>0</v>
      </c>
      <c r="AF147" s="137"/>
      <c r="AG147" s="137"/>
      <c r="AH147" s="137"/>
      <c r="AI147" s="137"/>
      <c r="AJ147" s="70"/>
      <c r="AL147" s="147">
        <f>COUNTIF($AL$74:$AL$78,"&lt;1")</f>
        <v>0</v>
      </c>
      <c r="AU147" s="147">
        <f>COUNTIF($AU$81:$AU$85,"&lt;1")</f>
        <v>0</v>
      </c>
    </row>
    <row r="148" spans="1:59" hidden="1">
      <c r="B148" s="147">
        <f>COUNTIF($B$87:$B$91,"&lt;1")</f>
        <v>0</v>
      </c>
      <c r="K148" s="147">
        <f>COUNTIF($K$87:$K$91,"&lt;1")</f>
        <v>0</v>
      </c>
      <c r="T148" s="147">
        <f>COUNTIF($T$88:$T$92,"&lt;1")</f>
        <v>0</v>
      </c>
      <c r="V148" s="137" t="e">
        <f>COUNTIF(#REF!,$A$26)</f>
        <v>#REF!</v>
      </c>
      <c r="W148" s="137"/>
      <c r="X148" s="137"/>
      <c r="Y148" s="137"/>
      <c r="Z148" s="137"/>
      <c r="AA148" s="115"/>
      <c r="AC148" s="147" t="e">
        <f>IF($A$35&gt;31,COUNTIF($AC$88:$AC$92,$S$35),0)</f>
        <v>#REF!</v>
      </c>
      <c r="AD148" s="70">
        <f t="shared" si="6"/>
        <v>0</v>
      </c>
      <c r="AE148" s="137">
        <f t="shared" si="10"/>
        <v>0</v>
      </c>
      <c r="AF148" s="137"/>
      <c r="AG148" s="137"/>
      <c r="AH148" s="137"/>
      <c r="AI148" s="137"/>
      <c r="AJ148" s="70"/>
      <c r="AL148" s="147">
        <f>COUNTIF($AL$81:$AL$85,"&lt;1")</f>
        <v>0</v>
      </c>
      <c r="AU148" s="147">
        <f>COUNTIF($AU$88:$AU$92,"&lt;1")</f>
        <v>0</v>
      </c>
    </row>
    <row r="149" spans="1:59" hidden="1">
      <c r="B149" s="147">
        <f>COUNTIF($B$94:$B$98,"&lt;1")</f>
        <v>0</v>
      </c>
      <c r="K149" s="147">
        <f>COUNTIF($K$94:$K$98,"&lt;1")</f>
        <v>0</v>
      </c>
      <c r="T149" s="147">
        <f>COUNTIF($T$95:$T$99,"&lt;1")</f>
        <v>0</v>
      </c>
      <c r="V149" s="137" t="e">
        <f>COUNTIF(#REF!,$A$26)</f>
        <v>#REF!</v>
      </c>
      <c r="W149" s="137"/>
      <c r="X149" s="137"/>
      <c r="Y149" s="137"/>
      <c r="Z149" s="137"/>
      <c r="AA149" s="115"/>
      <c r="AC149" s="147" t="e">
        <f>IF($A$35&gt;31,COUNTIF($AC$95:$AC$99,$S$35),0)</f>
        <v>#REF!</v>
      </c>
      <c r="AD149" s="70">
        <f t="shared" si="6"/>
        <v>0</v>
      </c>
      <c r="AE149" s="137">
        <f t="shared" si="10"/>
        <v>0</v>
      </c>
      <c r="AF149" s="137"/>
      <c r="AG149" s="137"/>
      <c r="AH149" s="137"/>
      <c r="AI149" s="137"/>
      <c r="AJ149" s="70"/>
      <c r="AL149" s="147">
        <f>COUNTIF($AL$88:$AL$92,"&lt;1")</f>
        <v>0</v>
      </c>
      <c r="AU149" s="147">
        <f>COUNTIF($AU$95:$AU$99,"&lt;1")</f>
        <v>0</v>
      </c>
    </row>
    <row r="150" spans="1:59" hidden="1">
      <c r="B150" s="147">
        <f>COUNTIF($B$101:$B$105,"&lt;1")</f>
        <v>0</v>
      </c>
      <c r="K150" s="147">
        <f>COUNTIF($K$101:$K$104,"&lt;1")</f>
        <v>0</v>
      </c>
      <c r="T150" s="147">
        <f>COUNTIF($T$102:$T$105,"&lt;1")</f>
        <v>0</v>
      </c>
      <c r="V150" s="137">
        <f t="shared" si="4"/>
        <v>0</v>
      </c>
      <c r="W150" s="137"/>
      <c r="X150" s="137"/>
      <c r="Y150" s="137"/>
      <c r="Z150" s="137"/>
      <c r="AA150" s="115"/>
      <c r="AC150" s="147" t="e">
        <f>IF($A$35&gt;31,COUNTIF($AC$102:$AC$106,$S$35),0)</f>
        <v>#REF!</v>
      </c>
      <c r="AD150" s="70">
        <f t="shared" si="6"/>
        <v>0</v>
      </c>
      <c r="AE150" s="137" t="e">
        <f>COUNTIF(#REF!,$A$26)</f>
        <v>#REF!</v>
      </c>
      <c r="AF150" s="137"/>
      <c r="AG150" s="137"/>
      <c r="AH150" s="137"/>
      <c r="AI150" s="137"/>
      <c r="AJ150" s="70"/>
      <c r="AL150" s="147">
        <f>COUNTIF($AL$95:$AL$99,"&lt;1")</f>
        <v>0</v>
      </c>
      <c r="AU150" s="147">
        <f>COUNTIF($AU$102:$AU$105,"&lt;1")</f>
        <v>0</v>
      </c>
    </row>
    <row r="151" spans="1:59" hidden="1">
      <c r="B151" s="147">
        <f>COUNTIF($B$108:$B$111,"&lt;1")</f>
        <v>0</v>
      </c>
      <c r="K151" s="147">
        <f>COUNTIF($K$107:$K$111,"&lt;1")</f>
        <v>0</v>
      </c>
      <c r="T151" s="147">
        <f>COUNTIF($T$107:$T$111,"&lt;1")</f>
        <v>0</v>
      </c>
      <c r="V151" s="137">
        <f t="shared" si="4"/>
        <v>0</v>
      </c>
      <c r="W151" s="137"/>
      <c r="X151" s="137"/>
      <c r="Y151" s="137"/>
      <c r="Z151" s="137"/>
      <c r="AA151" s="115"/>
      <c r="AC151" s="147" t="e">
        <f>IF($A$35&gt;31,COUNTIF($AC$108:$AC$111,$S$35),0)</f>
        <v>#REF!</v>
      </c>
      <c r="AD151" s="70">
        <f t="shared" si="6"/>
        <v>0</v>
      </c>
      <c r="AE151" s="137" t="e">
        <f>COUNTIF(#REF!,$A$26)</f>
        <v>#REF!</v>
      </c>
      <c r="AF151" s="137"/>
      <c r="AG151" s="137"/>
      <c r="AH151" s="137"/>
      <c r="AI151" s="137"/>
      <c r="AJ151" s="70"/>
      <c r="AL151" s="147">
        <f>COUNTIF($AL$102:$AL$111,"&lt;1")</f>
        <v>0</v>
      </c>
      <c r="AU151" s="147">
        <f>COUNTIF($AU$107:$AU$111,"&lt;1")</f>
        <v>0</v>
      </c>
    </row>
    <row r="152" spans="1:59" hidden="1">
      <c r="U152" s="201"/>
      <c r="V152" s="137">
        <f t="shared" si="4"/>
        <v>0</v>
      </c>
      <c r="W152" s="137"/>
      <c r="X152" s="137"/>
      <c r="Y152" s="137"/>
      <c r="Z152" s="137"/>
      <c r="AA152" s="115"/>
      <c r="AD152" s="70">
        <f t="shared" si="6"/>
        <v>0</v>
      </c>
      <c r="AE152" s="137">
        <f t="shared" si="7"/>
        <v>0</v>
      </c>
      <c r="AF152" s="137"/>
      <c r="AG152" s="137"/>
      <c r="AH152" s="137"/>
      <c r="AI152" s="137"/>
      <c r="AJ152" s="150"/>
    </row>
    <row r="153" spans="1:59" hidden="1">
      <c r="V153" s="137">
        <f t="shared" si="4"/>
        <v>0</v>
      </c>
      <c r="W153" s="137"/>
      <c r="X153" s="137"/>
      <c r="Y153" s="137"/>
      <c r="Z153" s="137"/>
      <c r="AA153" s="115"/>
      <c r="AD153" s="70">
        <f t="shared" si="6"/>
        <v>0</v>
      </c>
      <c r="AE153" s="137">
        <f t="shared" si="7"/>
        <v>0</v>
      </c>
      <c r="AF153" s="137"/>
      <c r="AG153" s="137"/>
      <c r="AH153" s="137"/>
      <c r="AI153" s="137"/>
      <c r="AJ153" s="70"/>
    </row>
    <row r="154" spans="1:59" hidden="1">
      <c r="V154" s="137">
        <f t="shared" si="4"/>
        <v>0</v>
      </c>
      <c r="W154" s="137"/>
      <c r="X154" s="137"/>
      <c r="Y154" s="137"/>
      <c r="Z154" s="137"/>
      <c r="AA154" s="115"/>
      <c r="AD154" s="70">
        <f t="shared" si="6"/>
        <v>0</v>
      </c>
      <c r="AE154" s="137">
        <f t="shared" si="7"/>
        <v>0</v>
      </c>
      <c r="AF154" s="137"/>
      <c r="AG154" s="137"/>
      <c r="AH154" s="137"/>
      <c r="AI154" s="137"/>
      <c r="AJ154" s="70"/>
    </row>
    <row r="155" spans="1:59" hidden="1">
      <c r="V155" s="137">
        <f t="shared" si="4"/>
        <v>0</v>
      </c>
      <c r="W155" s="137"/>
      <c r="X155" s="137"/>
      <c r="Y155" s="137"/>
      <c r="Z155" s="137"/>
      <c r="AA155" s="115"/>
      <c r="AD155" s="70">
        <f t="shared" si="6"/>
        <v>0</v>
      </c>
      <c r="AE155" s="137">
        <f t="shared" si="7"/>
        <v>0</v>
      </c>
      <c r="AF155" s="137"/>
      <c r="AG155" s="137"/>
      <c r="AH155" s="137"/>
      <c r="AI155" s="137"/>
      <c r="AJ155" s="70"/>
    </row>
    <row r="156" spans="1:59" hidden="1">
      <c r="V156" s="137">
        <f t="shared" si="4"/>
        <v>0</v>
      </c>
      <c r="W156" s="137"/>
      <c r="X156" s="137"/>
      <c r="Y156" s="137"/>
      <c r="Z156" s="137"/>
      <c r="AA156" s="115"/>
      <c r="AD156" s="70">
        <f t="shared" si="6"/>
        <v>0</v>
      </c>
      <c r="AE156" s="137">
        <f t="shared" si="7"/>
        <v>0</v>
      </c>
      <c r="AF156" s="137"/>
      <c r="AG156" s="137"/>
      <c r="AH156" s="137"/>
      <c r="AI156" s="137"/>
      <c r="AJ156" s="70"/>
    </row>
    <row r="157" spans="1:59" hidden="1">
      <c r="V157" s="137">
        <f t="shared" si="4"/>
        <v>0</v>
      </c>
      <c r="W157" s="137"/>
      <c r="X157" s="137"/>
      <c r="Y157" s="137"/>
      <c r="Z157" s="137"/>
      <c r="AA157" s="115"/>
      <c r="AD157" s="70">
        <f t="shared" si="6"/>
        <v>0</v>
      </c>
      <c r="AE157" s="137">
        <f t="shared" si="7"/>
        <v>0</v>
      </c>
      <c r="AF157" s="137"/>
      <c r="AG157" s="137"/>
      <c r="AH157" s="137"/>
      <c r="AI157" s="137"/>
      <c r="AJ157" s="70"/>
    </row>
    <row r="158" spans="1:59" s="40" customFormat="1" ht="4.5" customHeight="1">
      <c r="U158" s="202"/>
      <c r="V158" s="21"/>
      <c r="W158" s="21"/>
      <c r="X158" s="21"/>
      <c r="Y158" s="21"/>
      <c r="Z158" s="21"/>
      <c r="AA158" s="115"/>
      <c r="AD158" s="52"/>
      <c r="AE158" s="21"/>
      <c r="AF158" s="21"/>
      <c r="AG158" s="21"/>
      <c r="AH158" s="21"/>
      <c r="AI158" s="21"/>
      <c r="AJ158" s="52"/>
    </row>
    <row r="159" spans="1:59" s="128" customFormat="1" ht="15.75" hidden="1">
      <c r="A159" s="282" t="str">
        <f>CONCATENATE(B114,C115,B115,D115)</f>
        <v>19  pracovných dní / 152 hodín</v>
      </c>
      <c r="B159" s="283"/>
      <c r="C159" s="283"/>
      <c r="D159" s="284"/>
      <c r="E159" s="151"/>
      <c r="F159" s="151"/>
      <c r="G159" s="151"/>
      <c r="H159" s="151"/>
      <c r="J159" s="282" t="str">
        <f>CONCATENATE(K114,L115,K115,M115)</f>
        <v>21  pracovných dní / 168 hodín</v>
      </c>
      <c r="K159" s="283"/>
      <c r="L159" s="283"/>
      <c r="M159" s="284"/>
      <c r="N159" s="151"/>
      <c r="O159" s="151"/>
      <c r="P159" s="151"/>
      <c r="Q159" s="151"/>
      <c r="S159" s="282" t="str">
        <f>CONCATENATE(T114,U115,T115,V115)</f>
        <v>23  pracovných dní / 184 hodín</v>
      </c>
      <c r="T159" s="283"/>
      <c r="U159" s="283"/>
      <c r="V159" s="284"/>
      <c r="W159" s="151"/>
      <c r="X159" s="151"/>
      <c r="Y159" s="151"/>
      <c r="Z159" s="151"/>
      <c r="AA159" s="152"/>
      <c r="AB159" s="282" t="str">
        <f>CONCATENATE(AC114,AD115,AC115,AE115)</f>
        <v>19  pracovných dní / 152 hodín</v>
      </c>
      <c r="AC159" s="283"/>
      <c r="AD159" s="283"/>
      <c r="AE159" s="284"/>
      <c r="AF159" s="151"/>
      <c r="AG159" s="151"/>
      <c r="AH159" s="151"/>
      <c r="AI159" s="151"/>
      <c r="AK159" s="282" t="str">
        <f>CONCATENATE(AL114,AM115,AL115,AN115)</f>
        <v>21  pracovných dní / 168 hodín</v>
      </c>
      <c r="AL159" s="283"/>
      <c r="AM159" s="283"/>
      <c r="AN159" s="284"/>
      <c r="AO159" s="151"/>
      <c r="AP159" s="151"/>
      <c r="AQ159" s="151"/>
      <c r="AR159" s="151"/>
      <c r="AT159" s="282" t="str">
        <f>CONCATENATE(AU114,AV115,AU115,AW115)</f>
        <v>22  pracovných dní / 176 hodín</v>
      </c>
      <c r="AU159" s="283"/>
      <c r="AV159" s="283"/>
      <c r="AW159" s="284"/>
      <c r="AX159" s="151"/>
      <c r="AY159" s="151"/>
      <c r="AZ159" s="151"/>
      <c r="BA159" s="151"/>
    </row>
    <row r="160" spans="1:59" hidden="1"/>
    <row r="161" spans="1:61" s="155" customFormat="1" ht="20.25" hidden="1">
      <c r="A161" s="279" t="str">
        <f>CONCATENATE(A115,C114,C115,D114,D115)</f>
        <v>I. KVARTÁL - 63  pracovných dní / 504 hodín</v>
      </c>
      <c r="B161" s="280"/>
      <c r="C161" s="280"/>
      <c r="D161" s="280"/>
      <c r="E161" s="280"/>
      <c r="F161" s="280"/>
      <c r="G161" s="280"/>
      <c r="H161" s="280"/>
      <c r="I161" s="280"/>
      <c r="J161" s="280"/>
      <c r="K161" s="280"/>
      <c r="L161" s="280"/>
      <c r="M161" s="280"/>
      <c r="N161" s="280"/>
      <c r="O161" s="280"/>
      <c r="P161" s="280"/>
      <c r="Q161" s="280"/>
      <c r="R161" s="280"/>
      <c r="S161" s="280"/>
      <c r="T161" s="280"/>
      <c r="U161" s="280"/>
      <c r="V161" s="281"/>
      <c r="W161" s="153"/>
      <c r="X161" s="153"/>
      <c r="Y161" s="153"/>
      <c r="Z161" s="153"/>
      <c r="AA161" s="154"/>
      <c r="AB161" s="279" t="str">
        <f>CONCATENATE(AB115,AD114,AD115,AE114,AE115)</f>
        <v>62  pracovných dní / 496 hodín</v>
      </c>
      <c r="AC161" s="280"/>
      <c r="AD161" s="280"/>
      <c r="AE161" s="280"/>
      <c r="AF161" s="280"/>
      <c r="AG161" s="280"/>
      <c r="AH161" s="280"/>
      <c r="AI161" s="280"/>
      <c r="AJ161" s="280"/>
      <c r="AK161" s="280"/>
      <c r="AL161" s="280"/>
      <c r="AM161" s="280"/>
      <c r="AN161" s="280"/>
      <c r="AO161" s="280"/>
      <c r="AP161" s="280"/>
      <c r="AQ161" s="280"/>
      <c r="AR161" s="280"/>
      <c r="AS161" s="280"/>
      <c r="AT161" s="280"/>
      <c r="AU161" s="280"/>
      <c r="AV161" s="280"/>
      <c r="AW161" s="281"/>
      <c r="AX161" s="153"/>
      <c r="AY161" s="153"/>
      <c r="AZ161" s="153"/>
      <c r="BA161" s="153"/>
    </row>
    <row r="162" spans="1:61" ht="15" hidden="1">
      <c r="A162" s="156"/>
      <c r="B162" s="129">
        <f>IF(BD9&lt;=-3,C164,D164)</f>
        <v>0</v>
      </c>
      <c r="C162" s="129">
        <f>IF(B179=1,#REF!+1,B162+1)</f>
        <v>1</v>
      </c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210"/>
      <c r="V162" s="157"/>
      <c r="W162" s="157"/>
      <c r="X162" s="157"/>
      <c r="Y162" s="157"/>
      <c r="Z162" s="157"/>
      <c r="AA162" s="158"/>
      <c r="AB162" s="157"/>
      <c r="AC162" s="157"/>
      <c r="AD162" s="22">
        <f>COUNTIF(T200:T204,"&gt;1")</f>
        <v>3</v>
      </c>
      <c r="AE162" s="157"/>
      <c r="AF162" s="157"/>
      <c r="AG162" s="157"/>
      <c r="AH162" s="157"/>
      <c r="AI162" s="157"/>
      <c r="AJ162" s="129" t="str">
        <f>IF(V164&lt;=-3,AK164,AL164)</f>
        <v/>
      </c>
      <c r="AK162" s="129" t="e">
        <f>IF(AC172=1,S198+1,AJ162+1)</f>
        <v>#VALUE!</v>
      </c>
      <c r="AL162" s="157"/>
      <c r="AM162" s="157"/>
      <c r="AN162" s="157"/>
      <c r="AO162" s="157"/>
      <c r="AP162" s="157"/>
      <c r="AQ162" s="157"/>
      <c r="AR162" s="157"/>
      <c r="AS162" s="157"/>
      <c r="AT162" s="157"/>
      <c r="AU162" s="157"/>
      <c r="AV162" s="157"/>
      <c r="AW162" s="157"/>
      <c r="AX162" s="157"/>
      <c r="AY162" s="157"/>
      <c r="AZ162" s="157"/>
      <c r="BA162" s="157"/>
      <c r="BB162" s="157"/>
      <c r="BC162" s="157"/>
      <c r="BD162" s="157"/>
      <c r="BE162" s="157"/>
      <c r="BF162" s="157"/>
      <c r="BG162" s="157"/>
      <c r="BH162" s="157"/>
      <c r="BI162" s="157"/>
    </row>
    <row r="163" spans="1:61" hidden="1">
      <c r="A163" s="159"/>
      <c r="B163" s="160">
        <f>IF(BD9&gt;=-3,2,-5)</f>
        <v>2</v>
      </c>
      <c r="C163" s="161"/>
      <c r="D163" s="161"/>
      <c r="E163" s="161"/>
      <c r="F163" s="161"/>
      <c r="G163" s="161"/>
      <c r="H163" s="161"/>
      <c r="I163" s="161"/>
      <c r="J163" s="161"/>
      <c r="K163" s="161"/>
      <c r="L163" s="160">
        <f>IF(B164&gt;=-3,3,-4)</f>
        <v>3</v>
      </c>
      <c r="M163" s="161"/>
      <c r="N163" s="161"/>
      <c r="O163" s="161"/>
      <c r="P163" s="161"/>
      <c r="Q163" s="161"/>
      <c r="R163" s="161"/>
      <c r="S163" s="161"/>
      <c r="T163" s="161"/>
      <c r="U163" s="203"/>
      <c r="V163" s="160">
        <f>IF(L164&gt;=-3,3,-4)</f>
        <v>-4</v>
      </c>
      <c r="W163" s="160"/>
      <c r="X163" s="160"/>
      <c r="Y163" s="160"/>
      <c r="Z163" s="160"/>
      <c r="AA163" s="162"/>
      <c r="AB163" s="161"/>
      <c r="AC163" s="161"/>
      <c r="AD163" s="161"/>
      <c r="AE163" s="161"/>
      <c r="AF163" s="161"/>
      <c r="AG163" s="161"/>
      <c r="AH163" s="161"/>
      <c r="AI163" s="161"/>
      <c r="AJ163" s="160">
        <f>IF(V164&gt;=-3,2,-5)</f>
        <v>2</v>
      </c>
      <c r="AK163" s="161"/>
      <c r="AL163" s="161"/>
      <c r="AM163" s="161"/>
      <c r="AN163" s="161"/>
      <c r="AO163" s="161"/>
      <c r="AP163" s="161"/>
      <c r="AQ163" s="161"/>
      <c r="AR163" s="161"/>
      <c r="AS163" s="161"/>
      <c r="AT163" s="160">
        <f>IF(AJ164&gt;=-3,3,-4)</f>
        <v>-4</v>
      </c>
      <c r="AU163" s="161"/>
      <c r="AV163" s="161"/>
      <c r="AW163" s="161"/>
      <c r="AX163" s="161"/>
      <c r="AY163" s="161"/>
      <c r="AZ163" s="161"/>
      <c r="BA163" s="161"/>
      <c r="BB163" s="161"/>
      <c r="BC163" s="161"/>
      <c r="BD163" s="160">
        <f>IF(AT164&gt;=-3,2,-5)</f>
        <v>2</v>
      </c>
      <c r="BE163" s="161"/>
      <c r="BF163" s="161"/>
      <c r="BG163" s="161"/>
      <c r="BH163" s="161"/>
      <c r="BI163" s="161"/>
    </row>
    <row r="164" spans="1:61" hidden="1">
      <c r="A164" s="163"/>
      <c r="B164" s="164">
        <f>BD9-B163</f>
        <v>-3</v>
      </c>
      <c r="C164" s="165"/>
      <c r="D164" s="165"/>
      <c r="E164" s="165"/>
      <c r="F164" s="165"/>
      <c r="G164" s="165"/>
      <c r="H164" s="165"/>
      <c r="I164" s="166"/>
      <c r="J164" s="166"/>
      <c r="K164" s="166"/>
      <c r="L164" s="164">
        <f>B164-L163</f>
        <v>-6</v>
      </c>
      <c r="M164" s="165">
        <f>IF(K179=1,"",A198+1)</f>
        <v>31</v>
      </c>
      <c r="N164" s="165"/>
      <c r="O164" s="165"/>
      <c r="P164" s="165"/>
      <c r="Q164" s="165"/>
      <c r="R164" s="165">
        <f>IF(K178&gt;=1,A198,"")</f>
        <v>30</v>
      </c>
      <c r="S164" s="166"/>
      <c r="T164" s="166"/>
      <c r="U164" s="204"/>
      <c r="V164" s="164">
        <f>L164-V163</f>
        <v>-2</v>
      </c>
      <c r="W164" s="164"/>
      <c r="X164" s="164"/>
      <c r="Y164" s="164"/>
      <c r="Z164" s="164"/>
      <c r="AA164" s="167">
        <f>IF(T179=1,"",J198+1)</f>
        <v>36</v>
      </c>
      <c r="AB164" s="165">
        <f>IF(T178&gt;=1,J198,"")</f>
        <v>35</v>
      </c>
      <c r="AC164" s="166"/>
      <c r="AD164" s="166"/>
      <c r="AE164" s="166"/>
      <c r="AF164" s="166"/>
      <c r="AG164" s="166"/>
      <c r="AH164" s="166"/>
      <c r="AI164" s="166"/>
      <c r="AJ164" s="164">
        <f>V164-AJ163</f>
        <v>-4</v>
      </c>
      <c r="AK164" s="165">
        <f>IF(AC172=1,"",S198+1)</f>
        <v>40</v>
      </c>
      <c r="AL164" s="165" t="str">
        <f>IF(AC171&gt;=1,S198,"")</f>
        <v/>
      </c>
      <c r="AM164" s="166"/>
      <c r="AN164" s="166"/>
      <c r="AO164" s="166"/>
      <c r="AP164" s="166"/>
      <c r="AQ164" s="166"/>
      <c r="AR164" s="166"/>
      <c r="AS164" s="166"/>
      <c r="AT164" s="164">
        <f>AJ164-AT163</f>
        <v>0</v>
      </c>
      <c r="AU164" s="165">
        <f>IF(AL179=1,"",AB198+1)</f>
        <v>44</v>
      </c>
      <c r="AV164" s="165">
        <f>IF(AL178&gt;=1,AB198,"")</f>
        <v>43</v>
      </c>
      <c r="AW164" s="166"/>
      <c r="AX164" s="166"/>
      <c r="AY164" s="166"/>
      <c r="AZ164" s="166"/>
      <c r="BA164" s="166"/>
      <c r="BB164" s="166"/>
      <c r="BC164" s="166"/>
      <c r="BD164" s="164">
        <f>AT164-BD163</f>
        <v>-2</v>
      </c>
      <c r="BE164" s="165">
        <f>IF(AU179=1,"",AK198+1)</f>
        <v>49</v>
      </c>
      <c r="BF164" s="165">
        <f>IF(AU178&gt;=1,AK198,"")</f>
        <v>48</v>
      </c>
      <c r="BG164" s="166"/>
      <c r="BH164" s="166"/>
      <c r="BI164" s="166"/>
    </row>
    <row r="165" spans="1:61" s="169" customFormat="1" ht="45" hidden="1">
      <c r="A165" s="287"/>
      <c r="B165" s="287"/>
      <c r="C165" s="287"/>
      <c r="D165" s="287"/>
      <c r="E165" s="5"/>
      <c r="F165" s="5"/>
      <c r="G165" s="5"/>
      <c r="H165" s="5"/>
      <c r="I165" s="168"/>
      <c r="S165" s="170"/>
      <c r="T165" s="170"/>
      <c r="U165" s="211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1"/>
      <c r="AG165" s="171"/>
      <c r="AH165" s="171"/>
      <c r="AI165" s="289"/>
      <c r="AJ165" s="289"/>
      <c r="AK165" s="289"/>
      <c r="AL165" s="289"/>
      <c r="AM165" s="289"/>
      <c r="AN165" s="5"/>
      <c r="AO165" s="5"/>
      <c r="AP165" s="5"/>
      <c r="AQ165" s="5"/>
      <c r="AR165" s="5"/>
      <c r="AT165" s="287"/>
      <c r="AU165" s="287"/>
      <c r="AV165" s="287"/>
      <c r="AW165" s="287"/>
      <c r="AX165" s="5"/>
      <c r="AY165" s="5"/>
      <c r="AZ165" s="5"/>
      <c r="BA165" s="5"/>
    </row>
    <row r="166" spans="1:61" hidden="1"/>
    <row r="167" spans="1:61" hidden="1"/>
    <row r="168" spans="1:61" s="115" customFormat="1" ht="15">
      <c r="B168" s="130"/>
      <c r="C168" s="130"/>
      <c r="D168" s="130"/>
      <c r="E168" s="130"/>
      <c r="F168" s="130"/>
      <c r="G168" s="130"/>
      <c r="H168" s="130"/>
      <c r="K168" s="130"/>
      <c r="L168" s="130"/>
      <c r="M168" s="130"/>
      <c r="N168" s="130"/>
      <c r="O168" s="130"/>
      <c r="P168" s="130"/>
      <c r="Q168" s="130"/>
      <c r="T168" s="130"/>
      <c r="U168" s="212"/>
      <c r="V168" s="130"/>
      <c r="W168" s="130"/>
      <c r="X168" s="130"/>
      <c r="Y168" s="130"/>
      <c r="Z168" s="130"/>
      <c r="AC168" s="130"/>
      <c r="AD168" s="130"/>
      <c r="AE168" s="130"/>
      <c r="AF168" s="130"/>
      <c r="AG168" s="130"/>
      <c r="AH168" s="130"/>
      <c r="AI168" s="130"/>
      <c r="AL168" s="130"/>
      <c r="AM168" s="130"/>
      <c r="AN168" s="130"/>
      <c r="AO168" s="130"/>
      <c r="AP168" s="130"/>
      <c r="AQ168" s="130"/>
      <c r="AR168" s="130"/>
      <c r="AU168" s="130"/>
      <c r="AV168" s="130"/>
      <c r="AW168" s="130"/>
      <c r="AX168" s="130"/>
      <c r="AY168" s="130"/>
      <c r="AZ168" s="130"/>
      <c r="BA168" s="130"/>
    </row>
    <row r="169" spans="1:61" ht="45" customHeight="1">
      <c r="A169" s="131" t="s">
        <v>23</v>
      </c>
      <c r="B169" s="131" t="s">
        <v>24</v>
      </c>
      <c r="C169" s="132" t="s">
        <v>25</v>
      </c>
      <c r="D169" s="277" t="s">
        <v>42</v>
      </c>
      <c r="E169" s="277"/>
      <c r="F169" s="277"/>
      <c r="G169" s="277"/>
      <c r="H169" s="277"/>
      <c r="I169" s="133"/>
      <c r="J169" s="131" t="s">
        <v>23</v>
      </c>
      <c r="K169" s="131" t="s">
        <v>24</v>
      </c>
      <c r="L169" s="131" t="s">
        <v>25</v>
      </c>
      <c r="M169" s="277" t="s">
        <v>43</v>
      </c>
      <c r="N169" s="277"/>
      <c r="O169" s="277"/>
      <c r="P169" s="277"/>
      <c r="Q169" s="277"/>
      <c r="R169" s="133"/>
      <c r="S169" s="131" t="s">
        <v>23</v>
      </c>
      <c r="T169" s="131" t="s">
        <v>24</v>
      </c>
      <c r="U169" s="209" t="s">
        <v>25</v>
      </c>
      <c r="V169" s="277" t="s">
        <v>44</v>
      </c>
      <c r="W169" s="277"/>
      <c r="X169" s="277"/>
      <c r="Y169" s="277"/>
      <c r="Z169" s="277"/>
      <c r="AA169" s="134"/>
      <c r="AB169" s="131" t="s">
        <v>23</v>
      </c>
      <c r="AC169" s="131" t="s">
        <v>24</v>
      </c>
      <c r="AD169" s="131" t="s">
        <v>25</v>
      </c>
      <c r="AE169" s="277" t="s">
        <v>45</v>
      </c>
      <c r="AF169" s="277"/>
      <c r="AG169" s="277"/>
      <c r="AH169" s="277"/>
      <c r="AI169" s="277"/>
      <c r="AJ169" s="133"/>
      <c r="AK169" s="131" t="s">
        <v>23</v>
      </c>
      <c r="AL169" s="131" t="s">
        <v>24</v>
      </c>
      <c r="AM169" s="131" t="s">
        <v>25</v>
      </c>
      <c r="AN169" s="277" t="s">
        <v>46</v>
      </c>
      <c r="AO169" s="277"/>
      <c r="AP169" s="277"/>
      <c r="AQ169" s="277"/>
      <c r="AR169" s="277"/>
      <c r="AS169" s="133"/>
      <c r="AT169" s="131" t="s">
        <v>23</v>
      </c>
      <c r="AU169" s="131" t="s">
        <v>24</v>
      </c>
      <c r="AV169" s="131" t="s">
        <v>25</v>
      </c>
      <c r="AW169" s="277" t="s">
        <v>47</v>
      </c>
      <c r="AX169" s="277"/>
      <c r="AY169" s="277"/>
      <c r="AZ169" s="277"/>
      <c r="BA169" s="277"/>
    </row>
    <row r="170" spans="1:61" ht="20.100000000000001" customHeight="1">
      <c r="A170" s="288">
        <v>26</v>
      </c>
      <c r="B170" s="172"/>
      <c r="C170" s="136" t="s">
        <v>32</v>
      </c>
      <c r="D170" s="231"/>
      <c r="E170" s="232"/>
      <c r="F170" s="188"/>
      <c r="G170" s="232"/>
      <c r="H170" s="232"/>
      <c r="J170" s="228"/>
      <c r="K170" s="172">
        <v>1</v>
      </c>
      <c r="L170" s="136" t="s">
        <v>32</v>
      </c>
      <c r="M170" s="136"/>
      <c r="N170" s="136"/>
      <c r="O170" s="136"/>
      <c r="P170" s="136"/>
      <c r="Q170" s="136"/>
      <c r="S170" s="278">
        <v>35</v>
      </c>
      <c r="T170" s="172">
        <f>V164</f>
        <v>-2</v>
      </c>
      <c r="U170" s="189" t="s">
        <v>32</v>
      </c>
      <c r="V170" s="136"/>
      <c r="W170" s="136"/>
      <c r="X170" s="136"/>
      <c r="Y170" s="136"/>
      <c r="Z170" s="136"/>
      <c r="AB170" s="278">
        <v>39</v>
      </c>
      <c r="AC170" s="214"/>
      <c r="AD170" s="136" t="s">
        <v>32</v>
      </c>
      <c r="AE170" s="136"/>
      <c r="AF170" s="136"/>
      <c r="AG170" s="136"/>
      <c r="AH170" s="136"/>
      <c r="AI170" s="136"/>
      <c r="AK170" s="278">
        <v>44</v>
      </c>
      <c r="AL170" s="224"/>
      <c r="AM170" s="136" t="s">
        <v>32</v>
      </c>
      <c r="AN170" s="136"/>
      <c r="AO170" s="136"/>
      <c r="AP170" s="136"/>
      <c r="AQ170" s="136"/>
      <c r="AR170" s="136"/>
      <c r="AT170" s="278">
        <v>48</v>
      </c>
      <c r="AU170" s="172">
        <f>BD164</f>
        <v>-2</v>
      </c>
      <c r="AV170" s="136" t="s">
        <v>32</v>
      </c>
      <c r="AW170" s="136"/>
      <c r="AX170" s="136"/>
      <c r="AY170" s="136"/>
      <c r="AZ170" s="136"/>
      <c r="BA170" s="136"/>
    </row>
    <row r="171" spans="1:61" ht="20.100000000000001" customHeight="1">
      <c r="A171" s="288"/>
      <c r="B171" s="172"/>
      <c r="C171" s="136" t="s">
        <v>33</v>
      </c>
      <c r="D171" s="136"/>
      <c r="E171" s="136"/>
      <c r="F171" s="136"/>
      <c r="G171" s="136"/>
      <c r="H171" s="136"/>
      <c r="J171" s="229"/>
      <c r="K171" s="172">
        <v>2</v>
      </c>
      <c r="L171" s="136" t="s">
        <v>33</v>
      </c>
      <c r="M171" s="136"/>
      <c r="N171" s="136"/>
      <c r="O171" s="136"/>
      <c r="P171" s="136"/>
      <c r="Q171" s="136"/>
      <c r="S171" s="278"/>
      <c r="T171" s="249"/>
      <c r="U171" s="189" t="s">
        <v>33</v>
      </c>
      <c r="V171" s="136"/>
      <c r="W171" s="136"/>
      <c r="X171" s="136"/>
      <c r="Y171" s="136"/>
      <c r="Z171" s="136"/>
      <c r="AB171" s="278"/>
      <c r="AC171" s="173"/>
      <c r="AD171" s="136" t="s">
        <v>33</v>
      </c>
      <c r="AE171" s="136"/>
      <c r="AF171" s="136"/>
      <c r="AG171" s="136"/>
      <c r="AH171" s="136"/>
      <c r="AI171" s="136"/>
      <c r="AK171" s="278"/>
      <c r="AL171" s="172">
        <v>1</v>
      </c>
      <c r="AM171" s="136" t="s">
        <v>33</v>
      </c>
      <c r="AN171" s="136"/>
      <c r="AO171" s="136"/>
      <c r="AP171" s="136"/>
      <c r="AQ171" s="136"/>
      <c r="AR171" s="136"/>
      <c r="AT171" s="278"/>
      <c r="AU171" s="172"/>
      <c r="AV171" s="136" t="s">
        <v>33</v>
      </c>
      <c r="AW171" s="136"/>
      <c r="AX171" s="136"/>
      <c r="AY171" s="136"/>
      <c r="AZ171" s="136"/>
      <c r="BA171" s="136"/>
    </row>
    <row r="172" spans="1:61" ht="20.100000000000001" customHeight="1">
      <c r="A172" s="288"/>
      <c r="B172" s="172"/>
      <c r="C172" s="136" t="s">
        <v>34</v>
      </c>
      <c r="D172" s="136"/>
      <c r="E172" s="136"/>
      <c r="F172" s="136"/>
      <c r="G172" s="136"/>
      <c r="H172" s="136"/>
      <c r="J172" s="229"/>
      <c r="K172" s="172">
        <v>3</v>
      </c>
      <c r="L172" s="136" t="s">
        <v>34</v>
      </c>
      <c r="M172" s="252"/>
      <c r="N172" s="136"/>
      <c r="O172" s="136"/>
      <c r="P172" s="136"/>
      <c r="Q172" s="136"/>
      <c r="S172" s="278"/>
      <c r="T172" s="241"/>
      <c r="U172" s="189" t="s">
        <v>34</v>
      </c>
      <c r="V172" s="136"/>
      <c r="W172" s="136"/>
      <c r="X172" s="136"/>
      <c r="Y172" s="136"/>
      <c r="Z172" s="136"/>
      <c r="AB172" s="278"/>
      <c r="AC172" s="214"/>
      <c r="AD172" s="136" t="s">
        <v>34</v>
      </c>
      <c r="AE172" s="136"/>
      <c r="AF172" s="136"/>
      <c r="AG172" s="136"/>
      <c r="AH172" s="136"/>
      <c r="AI172" s="136"/>
      <c r="AK172" s="278"/>
      <c r="AL172" s="172">
        <v>2</v>
      </c>
      <c r="AM172" s="136" t="s">
        <v>34</v>
      </c>
      <c r="AN172" s="254"/>
      <c r="AO172" s="136"/>
      <c r="AP172" s="136"/>
      <c r="AQ172" s="136"/>
      <c r="AR172" s="136"/>
      <c r="AT172" s="278"/>
      <c r="AU172" s="172"/>
      <c r="AV172" s="136" t="s">
        <v>34</v>
      </c>
      <c r="AW172" s="136"/>
      <c r="AX172" s="136"/>
      <c r="AY172" s="136"/>
      <c r="AZ172" s="136"/>
      <c r="BA172" s="136"/>
    </row>
    <row r="173" spans="1:61" ht="20.100000000000001" customHeight="1">
      <c r="A173" s="288"/>
      <c r="B173" s="172"/>
      <c r="C173" s="136" t="s">
        <v>35</v>
      </c>
      <c r="D173" s="136"/>
      <c r="E173" s="136"/>
      <c r="F173" s="136"/>
      <c r="G173" s="136"/>
      <c r="H173" s="136"/>
      <c r="J173" s="229">
        <v>31</v>
      </c>
      <c r="K173" s="240">
        <v>4</v>
      </c>
      <c r="L173" s="136" t="s">
        <v>35</v>
      </c>
      <c r="M173" s="136"/>
      <c r="N173" s="136"/>
      <c r="O173" s="136"/>
      <c r="P173" s="136"/>
      <c r="Q173" s="136"/>
      <c r="S173" s="278"/>
      <c r="T173" s="242">
        <v>1</v>
      </c>
      <c r="U173" s="189" t="s">
        <v>35</v>
      </c>
      <c r="V173" s="136"/>
      <c r="W173" s="136"/>
      <c r="X173" s="136"/>
      <c r="Y173" s="136"/>
      <c r="Z173" s="136"/>
      <c r="AB173" s="278"/>
      <c r="AC173" s="173"/>
      <c r="AD173" s="136" t="s">
        <v>35</v>
      </c>
      <c r="AE173" s="136"/>
      <c r="AF173" s="136"/>
      <c r="AG173" s="136"/>
      <c r="AH173" s="136"/>
      <c r="AI173" s="136"/>
      <c r="AK173" s="278"/>
      <c r="AL173" s="172">
        <v>3</v>
      </c>
      <c r="AM173" s="136" t="s">
        <v>35</v>
      </c>
      <c r="AN173" s="136"/>
      <c r="AO173" s="136"/>
      <c r="AP173" s="136"/>
      <c r="AQ173" s="136"/>
      <c r="AR173" s="136"/>
      <c r="AT173" s="278"/>
      <c r="AU173" s="172">
        <v>1</v>
      </c>
      <c r="AV173" s="136" t="s">
        <v>35</v>
      </c>
      <c r="AW173" s="136"/>
      <c r="AX173" s="136"/>
      <c r="AY173" s="136"/>
      <c r="AZ173" s="136"/>
      <c r="BA173" s="136"/>
    </row>
    <row r="174" spans="1:61" ht="20.100000000000001" customHeight="1">
      <c r="A174" s="288"/>
      <c r="B174" s="172">
        <v>1</v>
      </c>
      <c r="C174" s="136" t="s">
        <v>36</v>
      </c>
      <c r="D174" s="136"/>
      <c r="E174" s="136"/>
      <c r="F174" s="136"/>
      <c r="G174" s="136"/>
      <c r="H174" s="136"/>
      <c r="J174" s="229"/>
      <c r="K174" s="239">
        <v>5</v>
      </c>
      <c r="L174" s="136" t="s">
        <v>36</v>
      </c>
      <c r="M174" s="136"/>
      <c r="N174" s="136"/>
      <c r="O174" s="136"/>
      <c r="P174" s="136"/>
      <c r="Q174" s="136"/>
      <c r="S174" s="278"/>
      <c r="T174" s="241">
        <v>2</v>
      </c>
      <c r="U174" s="189" t="s">
        <v>36</v>
      </c>
      <c r="V174" s="136"/>
      <c r="W174" s="136"/>
      <c r="X174" s="136"/>
      <c r="Y174" s="136"/>
      <c r="Z174" s="136"/>
      <c r="AB174" s="278"/>
      <c r="AC174" s="214"/>
      <c r="AD174" s="136" t="s">
        <v>36</v>
      </c>
      <c r="AE174" s="188"/>
      <c r="AF174" s="188"/>
      <c r="AG174" s="188"/>
      <c r="AH174" s="188"/>
      <c r="AI174" s="188"/>
      <c r="AK174" s="278"/>
      <c r="AL174" s="172">
        <v>4</v>
      </c>
      <c r="AM174" s="136" t="s">
        <v>36</v>
      </c>
      <c r="AN174" s="136"/>
      <c r="AO174" s="136"/>
      <c r="AP174" s="136"/>
      <c r="AQ174" s="136"/>
      <c r="AR174" s="136"/>
      <c r="AT174" s="278"/>
      <c r="AU174" s="172">
        <v>2</v>
      </c>
      <c r="AV174" s="136" t="s">
        <v>36</v>
      </c>
      <c r="AW174" s="252"/>
      <c r="AX174" s="136"/>
      <c r="AY174" s="136"/>
      <c r="AZ174" s="136"/>
      <c r="BA174" s="136"/>
    </row>
    <row r="175" spans="1:61" ht="20.100000000000001" customHeight="1">
      <c r="A175" s="288"/>
      <c r="B175" s="172">
        <v>2</v>
      </c>
      <c r="C175" s="141" t="s">
        <v>37</v>
      </c>
      <c r="D175" s="141"/>
      <c r="E175" s="141"/>
      <c r="F175" s="141"/>
      <c r="G175" s="141"/>
      <c r="H175" s="141"/>
      <c r="J175" s="229"/>
      <c r="K175" s="239">
        <v>6</v>
      </c>
      <c r="L175" s="141" t="s">
        <v>37</v>
      </c>
      <c r="M175" s="141"/>
      <c r="N175" s="141"/>
      <c r="O175" s="141"/>
      <c r="P175" s="141"/>
      <c r="Q175" s="141"/>
      <c r="S175" s="278"/>
      <c r="T175" s="241">
        <v>3</v>
      </c>
      <c r="U175" s="141" t="s">
        <v>37</v>
      </c>
      <c r="V175" s="141"/>
      <c r="W175" s="141"/>
      <c r="X175" s="141"/>
      <c r="Y175" s="141"/>
      <c r="Z175" s="141"/>
      <c r="AB175" s="278"/>
      <c r="AC175" s="173">
        <v>1</v>
      </c>
      <c r="AD175" s="141" t="s">
        <v>37</v>
      </c>
      <c r="AE175" s="141"/>
      <c r="AF175" s="141"/>
      <c r="AG175" s="141"/>
      <c r="AH175" s="141"/>
      <c r="AI175" s="141"/>
      <c r="AK175" s="278"/>
      <c r="AL175" s="172">
        <v>5</v>
      </c>
      <c r="AM175" s="141" t="s">
        <v>37</v>
      </c>
      <c r="AN175" s="141"/>
      <c r="AO175" s="141"/>
      <c r="AP175" s="141"/>
      <c r="AQ175" s="141"/>
      <c r="AR175" s="141"/>
      <c r="AT175" s="278"/>
      <c r="AU175" s="172">
        <v>3</v>
      </c>
      <c r="AV175" s="141" t="s">
        <v>37</v>
      </c>
      <c r="AW175" s="141"/>
      <c r="AX175" s="141"/>
      <c r="AY175" s="141"/>
      <c r="AZ175" s="141"/>
      <c r="BA175" s="141"/>
    </row>
    <row r="176" spans="1:61" ht="20.100000000000001" customHeight="1">
      <c r="A176" s="288"/>
      <c r="B176" s="172">
        <v>3</v>
      </c>
      <c r="C176" s="143" t="s">
        <v>38</v>
      </c>
      <c r="D176" s="143"/>
      <c r="E176" s="143"/>
      <c r="F176" s="143"/>
      <c r="G176" s="143"/>
      <c r="H176" s="143"/>
      <c r="J176" s="230"/>
      <c r="K176" s="172">
        <v>7</v>
      </c>
      <c r="L176" s="143" t="s">
        <v>38</v>
      </c>
      <c r="M176" s="143"/>
      <c r="N176" s="143"/>
      <c r="O176" s="143"/>
      <c r="P176" s="143"/>
      <c r="Q176" s="143"/>
      <c r="S176" s="278"/>
      <c r="T176" s="241">
        <v>4</v>
      </c>
      <c r="U176" s="143" t="s">
        <v>38</v>
      </c>
      <c r="V176" s="143"/>
      <c r="W176" s="143"/>
      <c r="X176" s="143"/>
      <c r="Y176" s="143"/>
      <c r="Z176" s="143"/>
      <c r="AB176" s="278"/>
      <c r="AC176" s="214">
        <v>2</v>
      </c>
      <c r="AD176" s="143" t="s">
        <v>38</v>
      </c>
      <c r="AE176" s="143"/>
      <c r="AF176" s="143"/>
      <c r="AG176" s="143"/>
      <c r="AH176" s="143"/>
      <c r="AI176" s="143"/>
      <c r="AK176" s="278"/>
      <c r="AL176" s="172">
        <v>6</v>
      </c>
      <c r="AM176" s="143" t="s">
        <v>38</v>
      </c>
      <c r="AN176" s="143"/>
      <c r="AO176" s="143"/>
      <c r="AP176" s="143"/>
      <c r="AQ176" s="143"/>
      <c r="AR176" s="143"/>
      <c r="AT176" s="278"/>
      <c r="AU176" s="172">
        <v>4</v>
      </c>
      <c r="AV176" s="143" t="s">
        <v>38</v>
      </c>
      <c r="AW176" s="143"/>
      <c r="AX176" s="143"/>
      <c r="AY176" s="143"/>
      <c r="AZ176" s="143"/>
      <c r="BA176" s="143"/>
    </row>
    <row r="177" spans="1:53" ht="20.100000000000001" customHeight="1">
      <c r="A177" s="278">
        <v>27</v>
      </c>
      <c r="B177" s="172">
        <v>4</v>
      </c>
      <c r="C177" s="136" t="s">
        <v>32</v>
      </c>
      <c r="D177" s="136"/>
      <c r="E177" s="136"/>
      <c r="F177" s="136"/>
      <c r="G177" s="136"/>
      <c r="H177" s="136"/>
      <c r="J177" s="278">
        <v>32</v>
      </c>
      <c r="K177" s="172">
        <v>8</v>
      </c>
      <c r="L177" s="136" t="s">
        <v>32</v>
      </c>
      <c r="M177" s="136"/>
      <c r="N177" s="136"/>
      <c r="O177" s="136"/>
      <c r="P177" s="136"/>
      <c r="Q177" s="136"/>
      <c r="S177" s="278">
        <v>36</v>
      </c>
      <c r="T177" s="241">
        <v>5</v>
      </c>
      <c r="U177" s="189" t="s">
        <v>32</v>
      </c>
      <c r="V177" s="136"/>
      <c r="W177" s="136"/>
      <c r="X177" s="136"/>
      <c r="Y177" s="136"/>
      <c r="Z177" s="136"/>
      <c r="AB177" s="278">
        <v>40</v>
      </c>
      <c r="AC177" s="173">
        <v>3</v>
      </c>
      <c r="AD177" s="136" t="s">
        <v>32</v>
      </c>
      <c r="AE177" s="136"/>
      <c r="AF177" s="136"/>
      <c r="AG177" s="136"/>
      <c r="AH177" s="136"/>
      <c r="AI177" s="136"/>
      <c r="AK177" s="278">
        <v>45</v>
      </c>
      <c r="AL177" s="172">
        <v>7</v>
      </c>
      <c r="AM177" s="136" t="s">
        <v>32</v>
      </c>
      <c r="AN177" s="136"/>
      <c r="AO177" s="136"/>
      <c r="AP177" s="136"/>
      <c r="AQ177" s="136"/>
      <c r="AR177" s="136"/>
      <c r="AT177" s="278">
        <v>49</v>
      </c>
      <c r="AU177" s="172">
        <v>5</v>
      </c>
      <c r="AV177" s="136" t="s">
        <v>32</v>
      </c>
      <c r="AW177" s="136"/>
      <c r="AX177" s="136"/>
      <c r="AY177" s="136"/>
      <c r="AZ177" s="136"/>
      <c r="BA177" s="136"/>
    </row>
    <row r="178" spans="1:53" ht="20.100000000000001" customHeight="1">
      <c r="A178" s="278"/>
      <c r="B178" s="172">
        <v>5</v>
      </c>
      <c r="C178" s="136" t="s">
        <v>33</v>
      </c>
      <c r="D178" s="136"/>
      <c r="E178" s="136"/>
      <c r="F178" s="136"/>
      <c r="G178" s="136"/>
      <c r="H178" s="136"/>
      <c r="J178" s="278"/>
      <c r="K178" s="172">
        <v>9</v>
      </c>
      <c r="L178" s="136" t="s">
        <v>33</v>
      </c>
      <c r="M178" s="136"/>
      <c r="N178" s="136"/>
      <c r="O178" s="136"/>
      <c r="P178" s="136"/>
      <c r="Q178" s="136"/>
      <c r="S178" s="278"/>
      <c r="T178" s="241">
        <v>6</v>
      </c>
      <c r="U178" s="189" t="s">
        <v>33</v>
      </c>
      <c r="V178" s="136"/>
      <c r="W178" s="136"/>
      <c r="X178" s="136"/>
      <c r="Y178" s="253"/>
      <c r="Z178" s="136"/>
      <c r="AB178" s="278"/>
      <c r="AC178" s="214">
        <v>4</v>
      </c>
      <c r="AD178" s="136" t="s">
        <v>33</v>
      </c>
      <c r="AE178" s="136"/>
      <c r="AF178" s="136"/>
      <c r="AG178" s="136"/>
      <c r="AH178" s="136"/>
      <c r="AI178" s="136"/>
      <c r="AK178" s="278"/>
      <c r="AL178" s="172">
        <v>8</v>
      </c>
      <c r="AM178" s="136" t="s">
        <v>33</v>
      </c>
      <c r="AN178" s="136"/>
      <c r="AO178" s="136"/>
      <c r="AP178" s="136"/>
      <c r="AQ178" s="136"/>
      <c r="AR178" s="136"/>
      <c r="AT178" s="278"/>
      <c r="AU178" s="172">
        <v>6</v>
      </c>
      <c r="AV178" s="136" t="s">
        <v>33</v>
      </c>
      <c r="AW178" s="136"/>
      <c r="AX178" s="136"/>
      <c r="AY178" s="136"/>
      <c r="AZ178" s="136"/>
      <c r="BA178" s="136"/>
    </row>
    <row r="179" spans="1:53" ht="20.100000000000001" customHeight="1">
      <c r="A179" s="278"/>
      <c r="B179" s="172">
        <v>6</v>
      </c>
      <c r="C179" s="136" t="s">
        <v>34</v>
      </c>
      <c r="D179" s="136"/>
      <c r="E179" s="136"/>
      <c r="F179" s="136"/>
      <c r="G179" s="136"/>
      <c r="H179" s="136"/>
      <c r="J179" s="278"/>
      <c r="K179" s="172">
        <v>10</v>
      </c>
      <c r="L179" s="136" t="s">
        <v>34</v>
      </c>
      <c r="M179" s="254"/>
      <c r="N179" s="136"/>
      <c r="O179" s="136"/>
      <c r="P179" s="136"/>
      <c r="Q179" s="136"/>
      <c r="S179" s="278"/>
      <c r="T179" s="241">
        <v>7</v>
      </c>
      <c r="U179" s="189" t="s">
        <v>34</v>
      </c>
      <c r="V179" s="254"/>
      <c r="W179" s="136"/>
      <c r="X179" s="136"/>
      <c r="Y179" s="136"/>
      <c r="Z179" s="136"/>
      <c r="AB179" s="278"/>
      <c r="AC179" s="173">
        <v>5</v>
      </c>
      <c r="AD179" s="136" t="s">
        <v>34</v>
      </c>
      <c r="AE179" s="252"/>
      <c r="AF179" s="254"/>
      <c r="AG179" s="136"/>
      <c r="AH179" s="136"/>
      <c r="AI179" s="136"/>
      <c r="AK179" s="278"/>
      <c r="AL179" s="172">
        <v>9</v>
      </c>
      <c r="AM179" s="136" t="s">
        <v>34</v>
      </c>
      <c r="AN179" s="136"/>
      <c r="AO179" s="136"/>
      <c r="AP179" s="136"/>
      <c r="AQ179" s="136"/>
      <c r="AR179" s="136"/>
      <c r="AT179" s="278"/>
      <c r="AU179" s="172">
        <v>7</v>
      </c>
      <c r="AV179" s="136" t="s">
        <v>34</v>
      </c>
      <c r="AW179" s="136"/>
      <c r="AX179" s="136"/>
      <c r="AY179" s="136"/>
      <c r="AZ179" s="136"/>
      <c r="BA179" s="136"/>
    </row>
    <row r="180" spans="1:53" ht="20.100000000000001" customHeight="1">
      <c r="A180" s="278"/>
      <c r="B180" s="172">
        <v>7</v>
      </c>
      <c r="C180" s="136" t="s">
        <v>35</v>
      </c>
      <c r="D180" s="136"/>
      <c r="E180" s="136"/>
      <c r="F180" s="136"/>
      <c r="G180" s="136"/>
      <c r="H180" s="136"/>
      <c r="J180" s="278"/>
      <c r="K180" s="172">
        <v>11</v>
      </c>
      <c r="L180" s="136" t="s">
        <v>35</v>
      </c>
      <c r="M180" s="136"/>
      <c r="N180" s="136"/>
      <c r="O180" s="136"/>
      <c r="P180" s="136"/>
      <c r="Q180" s="136"/>
      <c r="S180" s="278"/>
      <c r="T180" s="241">
        <v>8</v>
      </c>
      <c r="U180" s="189" t="s">
        <v>35</v>
      </c>
      <c r="V180" s="136"/>
      <c r="W180" s="136"/>
      <c r="X180" s="136"/>
      <c r="Y180" s="136"/>
      <c r="Z180" s="136"/>
      <c r="AB180" s="278"/>
      <c r="AC180" s="214">
        <v>6</v>
      </c>
      <c r="AD180" s="136" t="s">
        <v>35</v>
      </c>
      <c r="AE180" s="136"/>
      <c r="AF180" s="136"/>
      <c r="AG180" s="136"/>
      <c r="AH180" s="136"/>
      <c r="AI180" s="136"/>
      <c r="AK180" s="278"/>
      <c r="AL180" s="172">
        <v>10</v>
      </c>
      <c r="AM180" s="136" t="s">
        <v>35</v>
      </c>
      <c r="AN180" s="136"/>
      <c r="AO180" s="136"/>
      <c r="AP180" s="136"/>
      <c r="AQ180" s="136"/>
      <c r="AR180" s="136"/>
      <c r="AT180" s="278"/>
      <c r="AU180" s="172">
        <v>8</v>
      </c>
      <c r="AV180" s="136" t="s">
        <v>35</v>
      </c>
      <c r="AW180" s="136"/>
      <c r="AX180" s="136"/>
      <c r="AY180" s="136"/>
      <c r="AZ180" s="136"/>
      <c r="BA180" s="136"/>
    </row>
    <row r="181" spans="1:53" ht="20.100000000000001" customHeight="1">
      <c r="A181" s="278"/>
      <c r="B181" s="172">
        <v>8</v>
      </c>
      <c r="C181" s="136" t="s">
        <v>36</v>
      </c>
      <c r="D181" s="188"/>
      <c r="E181" s="188"/>
      <c r="F181" s="188"/>
      <c r="G181" s="188"/>
      <c r="H181" s="188"/>
      <c r="J181" s="278"/>
      <c r="K181" s="172">
        <v>12</v>
      </c>
      <c r="L181" s="136" t="s">
        <v>36</v>
      </c>
      <c r="M181" s="188"/>
      <c r="N181" s="188"/>
      <c r="O181" s="188"/>
      <c r="P181" s="188"/>
      <c r="Q181" s="188"/>
      <c r="S181" s="278"/>
      <c r="T181" s="241">
        <v>9</v>
      </c>
      <c r="U181" s="189" t="s">
        <v>36</v>
      </c>
      <c r="V181" s="188"/>
      <c r="W181" s="188"/>
      <c r="X181" s="188"/>
      <c r="Y181" s="188"/>
      <c r="Z181" s="188"/>
      <c r="AB181" s="278"/>
      <c r="AC181" s="173">
        <v>7</v>
      </c>
      <c r="AD181" s="136" t="s">
        <v>36</v>
      </c>
      <c r="AE181" s="136"/>
      <c r="AF181" s="136"/>
      <c r="AG181" s="136"/>
      <c r="AH181" s="136"/>
      <c r="AI181" s="136"/>
      <c r="AK181" s="278"/>
      <c r="AL181" s="172">
        <v>11</v>
      </c>
      <c r="AM181" s="136" t="s">
        <v>36</v>
      </c>
      <c r="AN181" s="188"/>
      <c r="AO181" s="188"/>
      <c r="AP181" s="188"/>
      <c r="AQ181" s="188"/>
      <c r="AR181" s="188"/>
      <c r="AT181" s="278"/>
      <c r="AU181" s="172">
        <v>9</v>
      </c>
      <c r="AV181" s="136" t="s">
        <v>36</v>
      </c>
      <c r="AW181" s="188"/>
      <c r="AX181" s="188"/>
      <c r="AY181" s="188"/>
      <c r="AZ181" s="188"/>
      <c r="BA181" s="188"/>
    </row>
    <row r="182" spans="1:53" ht="20.100000000000001" customHeight="1">
      <c r="A182" s="278"/>
      <c r="B182" s="172">
        <v>9</v>
      </c>
      <c r="C182" s="141" t="s">
        <v>37</v>
      </c>
      <c r="D182" s="141"/>
      <c r="E182" s="141"/>
      <c r="F182" s="141"/>
      <c r="G182" s="141"/>
      <c r="H182" s="141"/>
      <c r="J182" s="278"/>
      <c r="K182" s="172">
        <v>13</v>
      </c>
      <c r="L182" s="141" t="s">
        <v>37</v>
      </c>
      <c r="M182" s="141"/>
      <c r="N182" s="141"/>
      <c r="O182" s="141"/>
      <c r="P182" s="141"/>
      <c r="Q182" s="141"/>
      <c r="S182" s="278"/>
      <c r="T182" s="241">
        <v>10</v>
      </c>
      <c r="U182" s="141" t="s">
        <v>37</v>
      </c>
      <c r="V182" s="141"/>
      <c r="W182" s="141"/>
      <c r="X182" s="141"/>
      <c r="Y182" s="141"/>
      <c r="Z182" s="141"/>
      <c r="AB182" s="278"/>
      <c r="AC182" s="214">
        <v>8</v>
      </c>
      <c r="AD182" s="141" t="s">
        <v>37</v>
      </c>
      <c r="AE182" s="141"/>
      <c r="AF182" s="141"/>
      <c r="AG182" s="141"/>
      <c r="AH182" s="141"/>
      <c r="AI182" s="141"/>
      <c r="AK182" s="278"/>
      <c r="AL182" s="172">
        <v>12</v>
      </c>
      <c r="AM182" s="141" t="s">
        <v>37</v>
      </c>
      <c r="AN182" s="141"/>
      <c r="AO182" s="141"/>
      <c r="AP182" s="141"/>
      <c r="AQ182" s="141"/>
      <c r="AR182" s="141"/>
      <c r="AT182" s="278"/>
      <c r="AU182" s="172">
        <v>10</v>
      </c>
      <c r="AV182" s="141" t="s">
        <v>37</v>
      </c>
      <c r="AW182" s="141"/>
      <c r="AX182" s="141"/>
      <c r="AY182" s="141"/>
      <c r="AZ182" s="141"/>
      <c r="BA182" s="141"/>
    </row>
    <row r="183" spans="1:53" ht="20.100000000000001" customHeight="1">
      <c r="A183" s="278"/>
      <c r="B183" s="172">
        <v>10</v>
      </c>
      <c r="C183" s="143" t="s">
        <v>38</v>
      </c>
      <c r="D183" s="143"/>
      <c r="E183" s="143"/>
      <c r="F183" s="143"/>
      <c r="G183" s="143"/>
      <c r="H183" s="143"/>
      <c r="J183" s="278"/>
      <c r="K183" s="172">
        <v>14</v>
      </c>
      <c r="L183" s="143" t="s">
        <v>38</v>
      </c>
      <c r="M183" s="143"/>
      <c r="N183" s="143"/>
      <c r="O183" s="143"/>
      <c r="P183" s="143"/>
      <c r="Q183" s="143"/>
      <c r="S183" s="278"/>
      <c r="T183" s="241">
        <v>11</v>
      </c>
      <c r="U183" s="143" t="s">
        <v>38</v>
      </c>
      <c r="V183" s="143"/>
      <c r="W183" s="143"/>
      <c r="X183" s="143"/>
      <c r="Y183" s="143"/>
      <c r="Z183" s="143"/>
      <c r="AB183" s="278"/>
      <c r="AC183" s="173">
        <v>9</v>
      </c>
      <c r="AD183" s="143" t="s">
        <v>38</v>
      </c>
      <c r="AE183" s="143"/>
      <c r="AF183" s="143"/>
      <c r="AG183" s="143"/>
      <c r="AH183" s="143"/>
      <c r="AI183" s="143"/>
      <c r="AK183" s="278"/>
      <c r="AL183" s="172">
        <v>13</v>
      </c>
      <c r="AM183" s="143" t="s">
        <v>38</v>
      </c>
      <c r="AN183" s="143"/>
      <c r="AO183" s="143"/>
      <c r="AP183" s="143"/>
      <c r="AQ183" s="143"/>
      <c r="AR183" s="143"/>
      <c r="AT183" s="278"/>
      <c r="AU183" s="172">
        <v>11</v>
      </c>
      <c r="AV183" s="143" t="s">
        <v>38</v>
      </c>
      <c r="AW183" s="143"/>
      <c r="AX183" s="143"/>
      <c r="AY183" s="143"/>
      <c r="AZ183" s="143"/>
      <c r="BA183" s="143"/>
    </row>
    <row r="184" spans="1:53" ht="20.100000000000001" customHeight="1">
      <c r="A184" s="278">
        <v>28</v>
      </c>
      <c r="B184" s="172">
        <v>11</v>
      </c>
      <c r="C184" s="136" t="s">
        <v>32</v>
      </c>
      <c r="D184" s="136"/>
      <c r="E184" s="136"/>
      <c r="F184" s="136"/>
      <c r="G184" s="136"/>
      <c r="H184" s="136"/>
      <c r="J184" s="278">
        <v>33</v>
      </c>
      <c r="K184" s="172">
        <v>15</v>
      </c>
      <c r="L184" s="136" t="s">
        <v>32</v>
      </c>
      <c r="M184" s="251"/>
      <c r="N184" s="136"/>
      <c r="O184" s="136"/>
      <c r="P184" s="136"/>
      <c r="Q184" s="136"/>
      <c r="S184" s="278">
        <v>37</v>
      </c>
      <c r="T184" s="241">
        <v>12</v>
      </c>
      <c r="U184" s="189" t="s">
        <v>32</v>
      </c>
      <c r="V184" s="136"/>
      <c r="W184" s="136"/>
      <c r="X184" s="136"/>
      <c r="Y184" s="136"/>
      <c r="Z184" s="136"/>
      <c r="AB184" s="278">
        <v>41</v>
      </c>
      <c r="AC184" s="214">
        <v>10</v>
      </c>
      <c r="AD184" s="136" t="s">
        <v>32</v>
      </c>
      <c r="AE184" s="136"/>
      <c r="AF184" s="136"/>
      <c r="AG184" s="136"/>
      <c r="AH184" s="136"/>
      <c r="AI184" s="136"/>
      <c r="AK184" s="278">
        <v>46</v>
      </c>
      <c r="AL184" s="172">
        <v>14</v>
      </c>
      <c r="AM184" s="136" t="s">
        <v>32</v>
      </c>
      <c r="AN184" s="136"/>
      <c r="AO184" s="136"/>
      <c r="AP184" s="136"/>
      <c r="AQ184" s="136"/>
      <c r="AR184" s="136"/>
      <c r="AT184" s="278">
        <v>50</v>
      </c>
      <c r="AU184" s="172">
        <v>12</v>
      </c>
      <c r="AV184" s="136" t="s">
        <v>32</v>
      </c>
      <c r="AW184" s="136"/>
      <c r="AX184" s="136"/>
      <c r="AY184" s="136"/>
      <c r="AZ184" s="136"/>
      <c r="BA184" s="136"/>
    </row>
    <row r="185" spans="1:53" ht="20.100000000000001" customHeight="1">
      <c r="A185" s="278"/>
      <c r="B185" s="172">
        <v>12</v>
      </c>
      <c r="C185" s="136" t="s">
        <v>33</v>
      </c>
      <c r="D185" s="136"/>
      <c r="E185" s="136"/>
      <c r="F185" s="136"/>
      <c r="G185" s="136"/>
      <c r="H185" s="136"/>
      <c r="J185" s="278"/>
      <c r="K185" s="172">
        <v>16</v>
      </c>
      <c r="L185" s="136" t="s">
        <v>33</v>
      </c>
      <c r="M185" s="136"/>
      <c r="N185" s="136"/>
      <c r="O185" s="136"/>
      <c r="P185" s="136"/>
      <c r="Q185" s="136"/>
      <c r="S185" s="278"/>
      <c r="T185" s="241">
        <v>13</v>
      </c>
      <c r="U185" s="189" t="s">
        <v>33</v>
      </c>
      <c r="V185" s="136"/>
      <c r="W185" s="136"/>
      <c r="X185" s="136"/>
      <c r="Y185" s="136"/>
      <c r="Z185" s="136"/>
      <c r="AB185" s="278"/>
      <c r="AC185" s="173">
        <v>11</v>
      </c>
      <c r="AD185" s="136" t="s">
        <v>33</v>
      </c>
      <c r="AE185" s="136"/>
      <c r="AF185" s="136"/>
      <c r="AG185" s="136"/>
      <c r="AH185" s="136"/>
      <c r="AI185" s="136"/>
      <c r="AK185" s="278"/>
      <c r="AL185" s="172">
        <v>15</v>
      </c>
      <c r="AM185" s="136" t="s">
        <v>33</v>
      </c>
      <c r="AN185" s="136"/>
      <c r="AO185" s="136"/>
      <c r="AP185" s="136"/>
      <c r="AQ185" s="136"/>
      <c r="AR185" s="136"/>
      <c r="AT185" s="278"/>
      <c r="AU185" s="172">
        <v>13</v>
      </c>
      <c r="AV185" s="136" t="s">
        <v>33</v>
      </c>
      <c r="AW185" s="136"/>
      <c r="AX185" s="136"/>
      <c r="AY185" s="136"/>
      <c r="AZ185" s="136"/>
      <c r="BA185" s="136"/>
    </row>
    <row r="186" spans="1:53" ht="20.100000000000001" customHeight="1">
      <c r="A186" s="278"/>
      <c r="B186" s="172">
        <v>13</v>
      </c>
      <c r="C186" s="136" t="s">
        <v>34</v>
      </c>
      <c r="D186" s="254"/>
      <c r="E186" s="136"/>
      <c r="F186" s="136"/>
      <c r="G186" s="136"/>
      <c r="H186" s="136"/>
      <c r="J186" s="278"/>
      <c r="K186" s="172">
        <v>17</v>
      </c>
      <c r="L186" s="136" t="s">
        <v>34</v>
      </c>
      <c r="M186" s="136"/>
      <c r="N186" s="136"/>
      <c r="O186" s="136"/>
      <c r="P186" s="136"/>
      <c r="Q186" s="136"/>
      <c r="S186" s="278"/>
      <c r="T186" s="241">
        <v>14</v>
      </c>
      <c r="U186" s="189" t="s">
        <v>34</v>
      </c>
      <c r="V186" s="136"/>
      <c r="W186" s="136"/>
      <c r="X186" s="136"/>
      <c r="Y186" s="136"/>
      <c r="Z186" s="136"/>
      <c r="AB186" s="278"/>
      <c r="AC186" s="214">
        <v>12</v>
      </c>
      <c r="AD186" s="136" t="s">
        <v>34</v>
      </c>
      <c r="AE186" s="136"/>
      <c r="AF186" s="136"/>
      <c r="AG186" s="136"/>
      <c r="AH186" s="136"/>
      <c r="AI186" s="136"/>
      <c r="AK186" s="278"/>
      <c r="AL186" s="172">
        <v>16</v>
      </c>
      <c r="AM186" s="136" t="s">
        <v>34</v>
      </c>
      <c r="AN186" s="254"/>
      <c r="AO186" s="136"/>
      <c r="AP186" s="136"/>
      <c r="AQ186" s="136"/>
      <c r="AR186" s="136"/>
      <c r="AT186" s="278"/>
      <c r="AU186" s="172">
        <v>14</v>
      </c>
      <c r="AV186" s="136" t="s">
        <v>34</v>
      </c>
      <c r="AW186" s="254"/>
      <c r="AX186" s="136"/>
      <c r="AY186" s="136"/>
      <c r="AZ186" s="136"/>
      <c r="BA186" s="136"/>
    </row>
    <row r="187" spans="1:53" ht="20.100000000000001" customHeight="1">
      <c r="A187" s="278"/>
      <c r="B187" s="172">
        <v>14</v>
      </c>
      <c r="C187" s="136" t="s">
        <v>35</v>
      </c>
      <c r="D187" s="136"/>
      <c r="E187" s="136"/>
      <c r="F187" s="136"/>
      <c r="G187" s="136"/>
      <c r="H187" s="136"/>
      <c r="J187" s="278"/>
      <c r="K187" s="172">
        <v>18</v>
      </c>
      <c r="L187" s="136" t="s">
        <v>35</v>
      </c>
      <c r="M187" s="136"/>
      <c r="N187" s="136"/>
      <c r="O187" s="136"/>
      <c r="P187" s="136"/>
      <c r="Q187" s="136"/>
      <c r="S187" s="278"/>
      <c r="T187" s="242">
        <v>15</v>
      </c>
      <c r="U187" s="189" t="s">
        <v>35</v>
      </c>
      <c r="V187" s="136"/>
      <c r="W187" s="136"/>
      <c r="X187" s="136"/>
      <c r="Y187" s="136"/>
      <c r="Z187" s="136"/>
      <c r="AB187" s="278"/>
      <c r="AC187" s="173">
        <v>13</v>
      </c>
      <c r="AD187" s="136" t="s">
        <v>35</v>
      </c>
      <c r="AE187" s="136"/>
      <c r="AF187" s="136"/>
      <c r="AG187" s="136"/>
      <c r="AH187" s="136"/>
      <c r="AI187" s="136"/>
      <c r="AK187" s="278"/>
      <c r="AL187" s="245">
        <v>17</v>
      </c>
      <c r="AM187" s="136" t="s">
        <v>35</v>
      </c>
      <c r="AN187" s="136"/>
      <c r="AO187" s="136"/>
      <c r="AP187" s="136"/>
      <c r="AQ187" s="136"/>
      <c r="AR187" s="136"/>
      <c r="AT187" s="278"/>
      <c r="AU187" s="172">
        <v>15</v>
      </c>
      <c r="AV187" s="136" t="s">
        <v>35</v>
      </c>
      <c r="AW187" s="136"/>
      <c r="AX187" s="136"/>
      <c r="AY187" s="136"/>
      <c r="AZ187" s="136"/>
      <c r="BA187" s="136"/>
    </row>
    <row r="188" spans="1:53" ht="20.100000000000001" customHeight="1">
      <c r="A188" s="278"/>
      <c r="B188" s="172">
        <v>15</v>
      </c>
      <c r="C188" s="136" t="s">
        <v>36</v>
      </c>
      <c r="D188" s="251"/>
      <c r="E188" s="136"/>
      <c r="F188" s="136"/>
      <c r="G188" s="136"/>
      <c r="H188" s="136"/>
      <c r="J188" s="278"/>
      <c r="K188" s="172">
        <v>19</v>
      </c>
      <c r="L188" s="136" t="s">
        <v>36</v>
      </c>
      <c r="M188" s="136"/>
      <c r="N188" s="136"/>
      <c r="O188" s="136"/>
      <c r="P188" s="136"/>
      <c r="Q188" s="136"/>
      <c r="S188" s="278"/>
      <c r="T188" s="241">
        <v>16</v>
      </c>
      <c r="U188" s="189" t="s">
        <v>36</v>
      </c>
      <c r="V188" s="136"/>
      <c r="W188" s="136"/>
      <c r="X188" s="136"/>
      <c r="Y188" s="136"/>
      <c r="Z188" s="136"/>
      <c r="AB188" s="278"/>
      <c r="AC188" s="214">
        <v>14</v>
      </c>
      <c r="AD188" s="136" t="s">
        <v>36</v>
      </c>
      <c r="AE188" s="136"/>
      <c r="AF188" s="136"/>
      <c r="AG188" s="136"/>
      <c r="AH188" s="136"/>
      <c r="AI188" s="136"/>
      <c r="AK188" s="278"/>
      <c r="AL188" s="172">
        <v>18</v>
      </c>
      <c r="AM188" s="136" t="s">
        <v>36</v>
      </c>
      <c r="AN188" s="251"/>
      <c r="AO188" s="136"/>
      <c r="AP188" s="136"/>
      <c r="AQ188" s="136"/>
      <c r="AR188" s="136"/>
      <c r="AT188" s="278"/>
      <c r="AU188" s="172">
        <v>16</v>
      </c>
      <c r="AV188" s="136" t="s">
        <v>36</v>
      </c>
      <c r="AW188" s="136"/>
      <c r="AX188" s="136"/>
      <c r="AY188" s="136"/>
      <c r="AZ188" s="136"/>
      <c r="BA188" s="136"/>
    </row>
    <row r="189" spans="1:53" ht="20.100000000000001" customHeight="1">
      <c r="A189" s="278"/>
      <c r="B189" s="172">
        <v>16</v>
      </c>
      <c r="C189" s="141" t="s">
        <v>37</v>
      </c>
      <c r="D189" s="141"/>
      <c r="E189" s="141"/>
      <c r="F189" s="141"/>
      <c r="G189" s="141"/>
      <c r="H189" s="141"/>
      <c r="J189" s="278"/>
      <c r="K189" s="172">
        <v>20</v>
      </c>
      <c r="L189" s="141" t="s">
        <v>37</v>
      </c>
      <c r="M189" s="141"/>
      <c r="N189" s="141"/>
      <c r="O189" s="141"/>
      <c r="P189" s="141"/>
      <c r="Q189" s="141"/>
      <c r="S189" s="278"/>
      <c r="T189" s="241">
        <v>17</v>
      </c>
      <c r="U189" s="141" t="s">
        <v>37</v>
      </c>
      <c r="V189" s="141"/>
      <c r="W189" s="141"/>
      <c r="X189" s="141"/>
      <c r="Y189" s="141"/>
      <c r="Z189" s="141"/>
      <c r="AB189" s="278"/>
      <c r="AC189" s="173">
        <v>15</v>
      </c>
      <c r="AD189" s="141" t="s">
        <v>37</v>
      </c>
      <c r="AE189" s="141"/>
      <c r="AF189" s="141"/>
      <c r="AG189" s="141"/>
      <c r="AH189" s="141"/>
      <c r="AI189" s="141"/>
      <c r="AK189" s="278"/>
      <c r="AL189" s="172">
        <v>19</v>
      </c>
      <c r="AM189" s="141" t="s">
        <v>37</v>
      </c>
      <c r="AN189" s="141"/>
      <c r="AO189" s="141"/>
      <c r="AP189" s="141"/>
      <c r="AQ189" s="141"/>
      <c r="AR189" s="141"/>
      <c r="AT189" s="278"/>
      <c r="AU189" s="172">
        <v>17</v>
      </c>
      <c r="AV189" s="141" t="s">
        <v>37</v>
      </c>
      <c r="AW189" s="141"/>
      <c r="AX189" s="141"/>
      <c r="AY189" s="141"/>
      <c r="AZ189" s="141"/>
      <c r="BA189" s="141"/>
    </row>
    <row r="190" spans="1:53" ht="20.100000000000001" customHeight="1">
      <c r="A190" s="278"/>
      <c r="B190" s="172">
        <v>17</v>
      </c>
      <c r="C190" s="143" t="s">
        <v>38</v>
      </c>
      <c r="D190" s="143"/>
      <c r="E190" s="143"/>
      <c r="F190" s="143"/>
      <c r="G190" s="143"/>
      <c r="H190" s="143"/>
      <c r="J190" s="278"/>
      <c r="K190" s="172">
        <v>21</v>
      </c>
      <c r="L190" s="143" t="s">
        <v>38</v>
      </c>
      <c r="M190" s="143"/>
      <c r="N190" s="143"/>
      <c r="O190" s="143"/>
      <c r="P190" s="143"/>
      <c r="Q190" s="143"/>
      <c r="S190" s="278"/>
      <c r="T190" s="241">
        <v>18</v>
      </c>
      <c r="U190" s="143" t="s">
        <v>38</v>
      </c>
      <c r="V190" s="143"/>
      <c r="W190" s="143"/>
      <c r="X190" s="143"/>
      <c r="Y190" s="143"/>
      <c r="Z190" s="143"/>
      <c r="AB190" s="278"/>
      <c r="AC190" s="214">
        <v>16</v>
      </c>
      <c r="AD190" s="143" t="s">
        <v>38</v>
      </c>
      <c r="AE190" s="143"/>
      <c r="AF190" s="143"/>
      <c r="AG190" s="143"/>
      <c r="AH190" s="143"/>
      <c r="AI190" s="143"/>
      <c r="AK190" s="278"/>
      <c r="AL190" s="172">
        <v>20</v>
      </c>
      <c r="AM190" s="143" t="s">
        <v>38</v>
      </c>
      <c r="AN190" s="143"/>
      <c r="AO190" s="143"/>
      <c r="AP190" s="143"/>
      <c r="AQ190" s="143"/>
      <c r="AR190" s="143"/>
      <c r="AT190" s="278"/>
      <c r="AU190" s="172">
        <v>18</v>
      </c>
      <c r="AV190" s="143" t="s">
        <v>38</v>
      </c>
      <c r="AW190" s="143"/>
      <c r="AX190" s="143"/>
      <c r="AY190" s="143"/>
      <c r="AZ190" s="143"/>
      <c r="BA190" s="143"/>
    </row>
    <row r="191" spans="1:53" ht="20.100000000000001" customHeight="1">
      <c r="A191" s="278">
        <v>29</v>
      </c>
      <c r="B191" s="172">
        <v>18</v>
      </c>
      <c r="C191" s="136" t="s">
        <v>32</v>
      </c>
      <c r="D191" s="136"/>
      <c r="E191" s="136"/>
      <c r="F191" s="136"/>
      <c r="G191" s="136"/>
      <c r="H191" s="136"/>
      <c r="J191" s="278">
        <v>34</v>
      </c>
      <c r="K191" s="172">
        <v>22</v>
      </c>
      <c r="L191" s="136" t="s">
        <v>32</v>
      </c>
      <c r="M191" s="136"/>
      <c r="N191" s="136"/>
      <c r="O191" s="136"/>
      <c r="P191" s="136"/>
      <c r="Q191" s="136"/>
      <c r="S191" s="278">
        <v>38</v>
      </c>
      <c r="T191" s="241">
        <v>19</v>
      </c>
      <c r="U191" s="189" t="s">
        <v>32</v>
      </c>
      <c r="V191" s="251"/>
      <c r="W191" s="136"/>
      <c r="X191" s="136"/>
      <c r="Y191" s="136"/>
      <c r="Z191" s="136"/>
      <c r="AB191" s="278">
        <v>42</v>
      </c>
      <c r="AC191" s="173">
        <v>17</v>
      </c>
      <c r="AD191" s="136" t="s">
        <v>32</v>
      </c>
      <c r="AE191" s="251"/>
      <c r="AF191" s="136"/>
      <c r="AG191" s="136"/>
      <c r="AH191" s="136"/>
      <c r="AI191" s="136"/>
      <c r="AK191" s="278">
        <v>47</v>
      </c>
      <c r="AL191" s="172">
        <v>21</v>
      </c>
      <c r="AM191" s="136" t="s">
        <v>32</v>
      </c>
      <c r="AN191" s="136"/>
      <c r="AO191" s="136"/>
      <c r="AP191" s="136"/>
      <c r="AQ191" s="136"/>
      <c r="AR191" s="136"/>
      <c r="AT191" s="278">
        <v>51</v>
      </c>
      <c r="AU191" s="172">
        <v>19</v>
      </c>
      <c r="AV191" s="136" t="s">
        <v>32</v>
      </c>
      <c r="AW191" s="251"/>
      <c r="AX191" s="136"/>
      <c r="AY191" s="136"/>
      <c r="AZ191" s="136"/>
      <c r="BA191" s="136"/>
    </row>
    <row r="192" spans="1:53" ht="20.100000000000001" customHeight="1">
      <c r="A192" s="278"/>
      <c r="B192" s="172">
        <v>19</v>
      </c>
      <c r="C192" s="136" t="s">
        <v>33</v>
      </c>
      <c r="D192" s="136"/>
      <c r="E192" s="136"/>
      <c r="F192" s="136"/>
      <c r="G192" s="136"/>
      <c r="H192" s="136"/>
      <c r="J192" s="278"/>
      <c r="K192" s="172">
        <v>23</v>
      </c>
      <c r="L192" s="136" t="s">
        <v>33</v>
      </c>
      <c r="M192" s="136"/>
      <c r="N192" s="136"/>
      <c r="O192" s="136"/>
      <c r="P192" s="136"/>
      <c r="Q192" s="136"/>
      <c r="S192" s="278"/>
      <c r="T192" s="241">
        <v>20</v>
      </c>
      <c r="U192" s="189" t="s">
        <v>33</v>
      </c>
      <c r="V192" s="136"/>
      <c r="W192" s="136"/>
      <c r="X192" s="136"/>
      <c r="Y192" s="136"/>
      <c r="Z192" s="136"/>
      <c r="AB192" s="278"/>
      <c r="AC192" s="214">
        <v>18</v>
      </c>
      <c r="AD192" s="136" t="s">
        <v>33</v>
      </c>
      <c r="AE192" s="136"/>
      <c r="AF192" s="136"/>
      <c r="AG192" s="136"/>
      <c r="AH192" s="136"/>
      <c r="AI192" s="136"/>
      <c r="AK192" s="278"/>
      <c r="AL192" s="172">
        <v>22</v>
      </c>
      <c r="AM192" s="136" t="s">
        <v>33</v>
      </c>
      <c r="AN192" s="136"/>
      <c r="AO192" s="136"/>
      <c r="AP192" s="136"/>
      <c r="AQ192" s="136"/>
      <c r="AR192" s="136"/>
      <c r="AT192" s="278"/>
      <c r="AU192" s="172">
        <v>20</v>
      </c>
      <c r="AV192" s="136" t="s">
        <v>33</v>
      </c>
      <c r="AW192" s="136"/>
      <c r="AX192" s="136"/>
      <c r="AY192" s="136"/>
      <c r="AZ192" s="136"/>
      <c r="BA192" s="136"/>
    </row>
    <row r="193" spans="1:53" ht="20.100000000000001" customHeight="1">
      <c r="A193" s="278"/>
      <c r="B193" s="172">
        <v>20</v>
      </c>
      <c r="C193" s="136" t="s">
        <v>34</v>
      </c>
      <c r="D193" s="136"/>
      <c r="E193" s="136"/>
      <c r="F193" s="136"/>
      <c r="G193" s="136"/>
      <c r="H193" s="136"/>
      <c r="J193" s="278"/>
      <c r="K193" s="172">
        <v>24</v>
      </c>
      <c r="L193" s="136" t="s">
        <v>34</v>
      </c>
      <c r="M193" s="254"/>
      <c r="N193" s="136"/>
      <c r="O193" s="136"/>
      <c r="P193" s="136"/>
      <c r="Q193" s="136"/>
      <c r="S193" s="278"/>
      <c r="T193" s="241">
        <v>21</v>
      </c>
      <c r="U193" s="189" t="s">
        <v>34</v>
      </c>
      <c r="V193" s="254"/>
      <c r="W193" s="136"/>
      <c r="X193" s="136"/>
      <c r="Y193" s="136"/>
      <c r="Z193" s="136"/>
      <c r="AB193" s="278"/>
      <c r="AC193" s="173">
        <v>19</v>
      </c>
      <c r="AD193" s="136" t="s">
        <v>34</v>
      </c>
      <c r="AE193" s="254"/>
      <c r="AF193" s="136"/>
      <c r="AG193" s="136"/>
      <c r="AH193" s="136"/>
      <c r="AI193" s="136"/>
      <c r="AK193" s="278"/>
      <c r="AL193" s="172">
        <v>23</v>
      </c>
      <c r="AM193" s="136" t="s">
        <v>34</v>
      </c>
      <c r="AN193" s="136"/>
      <c r="AO193" s="136"/>
      <c r="AP193" s="136"/>
      <c r="AQ193" s="136"/>
      <c r="AR193" s="136"/>
      <c r="AT193" s="278"/>
      <c r="AU193" s="172">
        <v>21</v>
      </c>
      <c r="AV193" s="136" t="s">
        <v>34</v>
      </c>
      <c r="AW193" s="136"/>
      <c r="AX193" s="136"/>
      <c r="AY193" s="136"/>
      <c r="AZ193" s="136"/>
      <c r="BA193" s="136"/>
    </row>
    <row r="194" spans="1:53" ht="20.100000000000001" customHeight="1">
      <c r="A194" s="278"/>
      <c r="B194" s="172">
        <v>21</v>
      </c>
      <c r="C194" s="136" t="s">
        <v>35</v>
      </c>
      <c r="D194" s="136"/>
      <c r="E194" s="136"/>
      <c r="F194" s="136"/>
      <c r="G194" s="136"/>
      <c r="H194" s="136"/>
      <c r="J194" s="278"/>
      <c r="K194" s="172">
        <v>25</v>
      </c>
      <c r="L194" s="136" t="s">
        <v>35</v>
      </c>
      <c r="M194" s="136"/>
      <c r="N194" s="136"/>
      <c r="O194" s="136"/>
      <c r="P194" s="136"/>
      <c r="Q194" s="136"/>
      <c r="S194" s="278"/>
      <c r="T194" s="241">
        <v>22</v>
      </c>
      <c r="U194" s="189" t="s">
        <v>35</v>
      </c>
      <c r="V194" s="136"/>
      <c r="W194" s="136"/>
      <c r="X194" s="136"/>
      <c r="Y194" s="136"/>
      <c r="Z194" s="136"/>
      <c r="AB194" s="278"/>
      <c r="AC194" s="214">
        <v>20</v>
      </c>
      <c r="AD194" s="136" t="s">
        <v>35</v>
      </c>
      <c r="AE194" s="136"/>
      <c r="AF194" s="136"/>
      <c r="AG194" s="136"/>
      <c r="AH194" s="136"/>
      <c r="AI194" s="136"/>
      <c r="AK194" s="278"/>
      <c r="AL194" s="172">
        <v>24</v>
      </c>
      <c r="AM194" s="136" t="s">
        <v>35</v>
      </c>
      <c r="AN194" s="136"/>
      <c r="AO194" s="136"/>
      <c r="AP194" s="136"/>
      <c r="AQ194" s="136"/>
      <c r="AR194" s="136"/>
      <c r="AT194" s="278"/>
      <c r="AU194" s="172">
        <v>22</v>
      </c>
      <c r="AV194" s="136" t="s">
        <v>35</v>
      </c>
      <c r="AW194" s="136"/>
      <c r="AX194" s="136"/>
      <c r="AY194" s="136"/>
      <c r="AZ194" s="136"/>
      <c r="BA194" s="136"/>
    </row>
    <row r="195" spans="1:53" ht="20.100000000000001" customHeight="1">
      <c r="A195" s="278"/>
      <c r="B195" s="172">
        <v>22</v>
      </c>
      <c r="C195" s="136" t="s">
        <v>36</v>
      </c>
      <c r="D195" s="136"/>
      <c r="E195" s="136"/>
      <c r="F195" s="136"/>
      <c r="G195" s="136"/>
      <c r="H195" s="136"/>
      <c r="J195" s="278"/>
      <c r="K195" s="172">
        <v>26</v>
      </c>
      <c r="L195" s="136" t="s">
        <v>36</v>
      </c>
      <c r="M195" s="136"/>
      <c r="N195" s="136"/>
      <c r="O195" s="136"/>
      <c r="P195" s="136"/>
      <c r="Q195" s="136"/>
      <c r="S195" s="278"/>
      <c r="T195" s="241">
        <v>23</v>
      </c>
      <c r="U195" s="189" t="s">
        <v>36</v>
      </c>
      <c r="V195" s="136"/>
      <c r="W195" s="136"/>
      <c r="X195" s="136"/>
      <c r="Y195" s="136"/>
      <c r="Z195" s="136"/>
      <c r="AB195" s="278"/>
      <c r="AC195" s="173">
        <v>21</v>
      </c>
      <c r="AD195" s="136" t="s">
        <v>36</v>
      </c>
      <c r="AE195" s="136"/>
      <c r="AF195" s="136"/>
      <c r="AG195" s="136"/>
      <c r="AH195" s="136"/>
      <c r="AI195" s="136"/>
      <c r="AK195" s="278"/>
      <c r="AL195" s="172">
        <v>25</v>
      </c>
      <c r="AM195" s="136" t="s">
        <v>36</v>
      </c>
      <c r="AN195" s="136"/>
      <c r="AO195" s="136"/>
      <c r="AP195" s="136"/>
      <c r="AQ195" s="136"/>
      <c r="AR195" s="136"/>
      <c r="AT195" s="278"/>
      <c r="AU195" s="172">
        <v>23</v>
      </c>
      <c r="AV195" s="136" t="s">
        <v>36</v>
      </c>
      <c r="AW195" s="136"/>
      <c r="AX195" s="136"/>
      <c r="AY195" s="136"/>
      <c r="AZ195" s="136"/>
      <c r="BA195" s="136"/>
    </row>
    <row r="196" spans="1:53" ht="20.100000000000001" customHeight="1">
      <c r="A196" s="278"/>
      <c r="B196" s="172">
        <v>23</v>
      </c>
      <c r="C196" s="141" t="s">
        <v>37</v>
      </c>
      <c r="D196" s="141"/>
      <c r="E196" s="141"/>
      <c r="F196" s="141"/>
      <c r="G196" s="141"/>
      <c r="H196" s="141"/>
      <c r="J196" s="278"/>
      <c r="K196" s="172">
        <v>27</v>
      </c>
      <c r="L196" s="141" t="s">
        <v>37</v>
      </c>
      <c r="M196" s="141"/>
      <c r="N196" s="141"/>
      <c r="O196" s="141"/>
      <c r="P196" s="141"/>
      <c r="Q196" s="141"/>
      <c r="S196" s="278"/>
      <c r="T196" s="241">
        <v>24</v>
      </c>
      <c r="U196" s="141" t="s">
        <v>37</v>
      </c>
      <c r="V196" s="141"/>
      <c r="W196" s="141"/>
      <c r="X196" s="141"/>
      <c r="Y196" s="141"/>
      <c r="Z196" s="141"/>
      <c r="AB196" s="278"/>
      <c r="AC196" s="214">
        <v>22</v>
      </c>
      <c r="AD196" s="141" t="s">
        <v>37</v>
      </c>
      <c r="AE196" s="141"/>
      <c r="AF196" s="141"/>
      <c r="AG196" s="141"/>
      <c r="AH196" s="141"/>
      <c r="AI196" s="141"/>
      <c r="AK196" s="278"/>
      <c r="AL196" s="172">
        <v>26</v>
      </c>
      <c r="AM196" s="141" t="s">
        <v>37</v>
      </c>
      <c r="AN196" s="141"/>
      <c r="AO196" s="141"/>
      <c r="AP196" s="141"/>
      <c r="AQ196" s="141"/>
      <c r="AR196" s="141"/>
      <c r="AT196" s="278"/>
      <c r="AU196" s="243">
        <v>24</v>
      </c>
      <c r="AV196" s="141" t="s">
        <v>37</v>
      </c>
      <c r="AW196" s="141"/>
      <c r="AX196" s="141"/>
      <c r="AY196" s="141"/>
      <c r="AZ196" s="141"/>
      <c r="BA196" s="141"/>
    </row>
    <row r="197" spans="1:53" ht="20.100000000000001" customHeight="1">
      <c r="A197" s="278"/>
      <c r="B197" s="172">
        <v>24</v>
      </c>
      <c r="C197" s="143" t="s">
        <v>38</v>
      </c>
      <c r="D197" s="143"/>
      <c r="E197" s="143"/>
      <c r="F197" s="143"/>
      <c r="G197" s="143"/>
      <c r="H197" s="143"/>
      <c r="J197" s="278"/>
      <c r="K197" s="172">
        <v>28</v>
      </c>
      <c r="L197" s="143" t="s">
        <v>38</v>
      </c>
      <c r="M197" s="143"/>
      <c r="N197" s="143"/>
      <c r="O197" s="143"/>
      <c r="P197" s="143"/>
      <c r="Q197" s="143"/>
      <c r="S197" s="278"/>
      <c r="T197" s="241">
        <v>25</v>
      </c>
      <c r="U197" s="143" t="s">
        <v>38</v>
      </c>
      <c r="V197" s="143"/>
      <c r="W197" s="143"/>
      <c r="X197" s="143"/>
      <c r="Y197" s="143"/>
      <c r="Z197" s="143"/>
      <c r="AB197" s="278"/>
      <c r="AC197" s="173">
        <v>23</v>
      </c>
      <c r="AD197" s="143" t="s">
        <v>38</v>
      </c>
      <c r="AE197" s="143"/>
      <c r="AF197" s="143"/>
      <c r="AG197" s="143"/>
      <c r="AH197" s="143"/>
      <c r="AI197" s="143"/>
      <c r="AK197" s="278"/>
      <c r="AL197" s="172">
        <v>27</v>
      </c>
      <c r="AM197" s="143" t="s">
        <v>38</v>
      </c>
      <c r="AN197" s="143"/>
      <c r="AO197" s="143"/>
      <c r="AP197" s="143"/>
      <c r="AQ197" s="143"/>
      <c r="AR197" s="143"/>
      <c r="AT197" s="278"/>
      <c r="AU197" s="243">
        <v>25</v>
      </c>
      <c r="AV197" s="143" t="s">
        <v>38</v>
      </c>
      <c r="AW197" s="143"/>
      <c r="AX197" s="143"/>
      <c r="AY197" s="143"/>
      <c r="AZ197" s="143"/>
      <c r="BA197" s="143"/>
    </row>
    <row r="198" spans="1:53" ht="20.100000000000001" customHeight="1">
      <c r="A198" s="278">
        <v>30</v>
      </c>
      <c r="B198" s="172">
        <v>25</v>
      </c>
      <c r="C198" s="136" t="s">
        <v>32</v>
      </c>
      <c r="D198" s="136"/>
      <c r="E198" s="136"/>
      <c r="F198" s="136"/>
      <c r="G198" s="136"/>
      <c r="H198" s="136"/>
      <c r="J198" s="278">
        <v>35</v>
      </c>
      <c r="K198" s="172">
        <v>29</v>
      </c>
      <c r="L198" s="136" t="s">
        <v>32</v>
      </c>
      <c r="M198" s="136"/>
      <c r="N198" s="136"/>
      <c r="O198" s="136"/>
      <c r="P198" s="136"/>
      <c r="Q198" s="136"/>
      <c r="S198" s="278">
        <v>39</v>
      </c>
      <c r="T198" s="241">
        <v>26</v>
      </c>
      <c r="U198" s="189" t="s">
        <v>32</v>
      </c>
      <c r="V198" s="136"/>
      <c r="W198" s="136"/>
      <c r="X198" s="136"/>
      <c r="Y198" s="136"/>
      <c r="Z198" s="136"/>
      <c r="AB198" s="278">
        <v>43</v>
      </c>
      <c r="AC198" s="214">
        <v>24</v>
      </c>
      <c r="AD198" s="136" t="s">
        <v>32</v>
      </c>
      <c r="AE198" s="136"/>
      <c r="AF198" s="136"/>
      <c r="AG198" s="136"/>
      <c r="AH198" s="136"/>
      <c r="AI198" s="136"/>
      <c r="AK198" s="278">
        <v>48</v>
      </c>
      <c r="AL198" s="172">
        <v>28</v>
      </c>
      <c r="AM198" s="136" t="s">
        <v>32</v>
      </c>
      <c r="AN198" s="136"/>
      <c r="AO198" s="136"/>
      <c r="AP198" s="136"/>
      <c r="AQ198" s="136"/>
      <c r="AR198" s="136"/>
      <c r="AT198" s="278">
        <v>52</v>
      </c>
      <c r="AU198" s="243">
        <v>26</v>
      </c>
      <c r="AV198" s="136" t="s">
        <v>32</v>
      </c>
      <c r="AW198" s="136"/>
      <c r="AX198" s="136"/>
      <c r="AY198" s="136"/>
      <c r="AZ198" s="136"/>
      <c r="BA198" s="136"/>
    </row>
    <row r="199" spans="1:53" ht="20.100000000000001" customHeight="1">
      <c r="A199" s="278"/>
      <c r="B199" s="172">
        <v>26</v>
      </c>
      <c r="C199" s="136" t="s">
        <v>33</v>
      </c>
      <c r="D199" s="136"/>
      <c r="E199" s="136"/>
      <c r="F199" s="136"/>
      <c r="G199" s="136"/>
      <c r="H199" s="136"/>
      <c r="J199" s="278"/>
      <c r="K199" s="172">
        <v>30</v>
      </c>
      <c r="L199" s="136" t="s">
        <v>33</v>
      </c>
      <c r="M199" s="136"/>
      <c r="N199" s="136"/>
      <c r="O199" s="136"/>
      <c r="P199" s="136"/>
      <c r="Q199" s="136"/>
      <c r="S199" s="278"/>
      <c r="T199" s="241">
        <v>27</v>
      </c>
      <c r="U199" s="189" t="s">
        <v>33</v>
      </c>
      <c r="V199" s="136"/>
      <c r="W199" s="136"/>
      <c r="X199" s="136"/>
      <c r="Y199" s="136"/>
      <c r="Z199" s="136"/>
      <c r="AB199" s="278"/>
      <c r="AC199" s="173">
        <v>25</v>
      </c>
      <c r="AD199" s="136" t="s">
        <v>33</v>
      </c>
      <c r="AE199" s="136"/>
      <c r="AF199" s="136"/>
      <c r="AG199" s="136"/>
      <c r="AH199" s="136"/>
      <c r="AI199" s="136"/>
      <c r="AK199" s="278"/>
      <c r="AL199" s="172">
        <v>29</v>
      </c>
      <c r="AM199" s="136" t="s">
        <v>33</v>
      </c>
      <c r="AN199" s="136"/>
      <c r="AO199" s="136"/>
      <c r="AP199" s="136"/>
      <c r="AQ199" s="136"/>
      <c r="AR199" s="136"/>
      <c r="AT199" s="278"/>
      <c r="AU199" s="172">
        <v>27</v>
      </c>
      <c r="AV199" s="136" t="s">
        <v>33</v>
      </c>
      <c r="AW199" s="136"/>
      <c r="AX199" s="136"/>
      <c r="AY199" s="136"/>
      <c r="AZ199" s="136"/>
      <c r="BA199" s="136"/>
    </row>
    <row r="200" spans="1:53" ht="20.100000000000001" customHeight="1">
      <c r="A200" s="278"/>
      <c r="B200" s="172">
        <v>27</v>
      </c>
      <c r="C200" s="136" t="s">
        <v>34</v>
      </c>
      <c r="D200" s="254"/>
      <c r="E200" s="136"/>
      <c r="F200" s="136"/>
      <c r="G200" s="136"/>
      <c r="H200" s="136"/>
      <c r="J200" s="278"/>
      <c r="K200" s="172">
        <v>31</v>
      </c>
      <c r="L200" s="136" t="s">
        <v>34</v>
      </c>
      <c r="M200" s="136"/>
      <c r="N200" s="136"/>
      <c r="O200" s="136"/>
      <c r="P200" s="136"/>
      <c r="Q200" s="136"/>
      <c r="S200" s="278"/>
      <c r="T200" s="241">
        <v>28</v>
      </c>
      <c r="U200" s="189" t="s">
        <v>34</v>
      </c>
      <c r="V200" s="136"/>
      <c r="W200" s="136"/>
      <c r="X200" s="136"/>
      <c r="Y200" s="136"/>
      <c r="Z200" s="136"/>
      <c r="AB200" s="278"/>
      <c r="AC200" s="214">
        <v>26</v>
      </c>
      <c r="AD200" s="136" t="s">
        <v>34</v>
      </c>
      <c r="AE200" s="136"/>
      <c r="AF200" s="136"/>
      <c r="AG200" s="136"/>
      <c r="AH200" s="136"/>
      <c r="AI200" s="136"/>
      <c r="AK200" s="278"/>
      <c r="AL200" s="172">
        <v>30</v>
      </c>
      <c r="AM200" s="136" t="s">
        <v>34</v>
      </c>
      <c r="AN200" s="254"/>
      <c r="AO200" s="136"/>
      <c r="AP200" s="136"/>
      <c r="AQ200" s="136"/>
      <c r="AR200" s="136"/>
      <c r="AT200" s="278"/>
      <c r="AU200" s="172">
        <v>28</v>
      </c>
      <c r="AV200" s="136" t="s">
        <v>34</v>
      </c>
      <c r="AW200" s="254"/>
      <c r="AX200" s="136"/>
      <c r="AY200" s="136"/>
      <c r="AZ200" s="136"/>
      <c r="BA200" s="136"/>
    </row>
    <row r="201" spans="1:53" ht="20.100000000000001" customHeight="1">
      <c r="A201" s="278"/>
      <c r="B201" s="172">
        <v>28</v>
      </c>
      <c r="C201" s="136" t="s">
        <v>35</v>
      </c>
      <c r="D201" s="136"/>
      <c r="E201" s="136"/>
      <c r="F201" s="136"/>
      <c r="G201" s="136"/>
      <c r="H201" s="136"/>
      <c r="J201" s="278"/>
      <c r="K201" s="172"/>
      <c r="L201" s="136" t="s">
        <v>35</v>
      </c>
      <c r="M201" s="136"/>
      <c r="N201" s="136"/>
      <c r="O201" s="136"/>
      <c r="P201" s="136"/>
      <c r="Q201" s="136"/>
      <c r="S201" s="278"/>
      <c r="T201" s="241">
        <v>29</v>
      </c>
      <c r="U201" s="189" t="s">
        <v>35</v>
      </c>
      <c r="V201" s="136"/>
      <c r="W201" s="136"/>
      <c r="X201" s="136"/>
      <c r="Y201" s="136"/>
      <c r="Z201" s="136"/>
      <c r="AB201" s="278"/>
      <c r="AC201" s="173">
        <v>27</v>
      </c>
      <c r="AD201" s="136" t="s">
        <v>35</v>
      </c>
      <c r="AE201" s="136"/>
      <c r="AF201" s="136"/>
      <c r="AG201" s="136"/>
      <c r="AH201" s="136"/>
      <c r="AI201" s="136"/>
      <c r="AK201" s="278"/>
      <c r="AL201" s="172"/>
      <c r="AM201" s="136" t="s">
        <v>35</v>
      </c>
      <c r="AN201" s="136"/>
      <c r="AO201" s="136"/>
      <c r="AP201" s="136"/>
      <c r="AQ201" s="136"/>
      <c r="AR201" s="136"/>
      <c r="AT201" s="278"/>
      <c r="AU201" s="172">
        <v>29</v>
      </c>
      <c r="AV201" s="136" t="s">
        <v>35</v>
      </c>
      <c r="AW201" s="136"/>
      <c r="AX201" s="136"/>
      <c r="AY201" s="136"/>
      <c r="AZ201" s="136"/>
      <c r="BA201" s="136"/>
    </row>
    <row r="202" spans="1:53" ht="20.100000000000001" customHeight="1">
      <c r="A202" s="278"/>
      <c r="B202" s="172">
        <v>29</v>
      </c>
      <c r="C202" s="136" t="s">
        <v>36</v>
      </c>
      <c r="D202" s="136"/>
      <c r="E202" s="136"/>
      <c r="F202" s="136"/>
      <c r="G202" s="136"/>
      <c r="H202" s="136"/>
      <c r="J202" s="278"/>
      <c r="K202" s="172"/>
      <c r="L202" s="136" t="s">
        <v>36</v>
      </c>
      <c r="M202" s="136"/>
      <c r="N202" s="136"/>
      <c r="O202" s="136"/>
      <c r="P202" s="136"/>
      <c r="Q202" s="136"/>
      <c r="S202" s="278"/>
      <c r="T202" s="241">
        <v>30</v>
      </c>
      <c r="U202" s="189" t="s">
        <v>36</v>
      </c>
      <c r="V202" s="136"/>
      <c r="W202" s="136"/>
      <c r="X202" s="136"/>
      <c r="Y202" s="136"/>
      <c r="Z202" s="136"/>
      <c r="AB202" s="278"/>
      <c r="AC202" s="214">
        <v>28</v>
      </c>
      <c r="AD202" s="136" t="s">
        <v>36</v>
      </c>
      <c r="AE202" s="136"/>
      <c r="AF202" s="136"/>
      <c r="AG202" s="136"/>
      <c r="AH202" s="136"/>
      <c r="AI202" s="136"/>
      <c r="AK202" s="278"/>
      <c r="AL202" s="172"/>
      <c r="AM202" s="136" t="s">
        <v>36</v>
      </c>
      <c r="AN202" s="136"/>
      <c r="AO202" s="136"/>
      <c r="AP202" s="136"/>
      <c r="AQ202" s="136"/>
      <c r="AR202" s="136"/>
      <c r="AT202" s="278"/>
      <c r="AU202" s="172">
        <v>30</v>
      </c>
      <c r="AV202" s="136" t="s">
        <v>36</v>
      </c>
      <c r="AW202" s="136"/>
      <c r="AX202" s="136"/>
      <c r="AY202" s="136"/>
      <c r="AZ202" s="136"/>
      <c r="BA202" s="136"/>
    </row>
    <row r="203" spans="1:53" ht="20.100000000000001" customHeight="1">
      <c r="A203" s="278"/>
      <c r="B203" s="172">
        <v>30</v>
      </c>
      <c r="C203" s="141" t="s">
        <v>37</v>
      </c>
      <c r="D203" s="141"/>
      <c r="E203" s="141"/>
      <c r="F203" s="141"/>
      <c r="G203" s="141"/>
      <c r="H203" s="141"/>
      <c r="J203" s="278"/>
      <c r="K203" s="172"/>
      <c r="L203" s="141" t="s">
        <v>37</v>
      </c>
      <c r="M203" s="141"/>
      <c r="N203" s="141"/>
      <c r="O203" s="141"/>
      <c r="P203" s="141"/>
      <c r="Q203" s="141"/>
      <c r="S203" s="278"/>
      <c r="T203" s="172"/>
      <c r="U203" s="141" t="s">
        <v>37</v>
      </c>
      <c r="V203" s="141"/>
      <c r="W203" s="141"/>
      <c r="X203" s="141"/>
      <c r="Y203" s="141"/>
      <c r="Z203" s="141"/>
      <c r="AB203" s="278"/>
      <c r="AC203" s="173">
        <v>29</v>
      </c>
      <c r="AD203" s="141" t="s">
        <v>37</v>
      </c>
      <c r="AE203" s="141"/>
      <c r="AF203" s="141"/>
      <c r="AG203" s="141"/>
      <c r="AH203" s="141"/>
      <c r="AI203" s="141"/>
      <c r="AK203" s="278"/>
      <c r="AL203" s="172"/>
      <c r="AM203" s="141" t="s">
        <v>37</v>
      </c>
      <c r="AN203" s="141"/>
      <c r="AO203" s="141"/>
      <c r="AP203" s="141"/>
      <c r="AQ203" s="141"/>
      <c r="AR203" s="141"/>
      <c r="AT203" s="278"/>
      <c r="AU203" s="172">
        <v>31</v>
      </c>
      <c r="AV203" s="141" t="s">
        <v>37</v>
      </c>
      <c r="AW203" s="141"/>
      <c r="AX203" s="141"/>
      <c r="AY203" s="141"/>
      <c r="AZ203" s="141"/>
      <c r="BA203" s="141"/>
    </row>
    <row r="204" spans="1:53" ht="20.100000000000001" customHeight="1">
      <c r="A204" s="278"/>
      <c r="B204" s="172">
        <v>31</v>
      </c>
      <c r="C204" s="143" t="s">
        <v>38</v>
      </c>
      <c r="D204" s="143"/>
      <c r="E204" s="143"/>
      <c r="F204" s="143"/>
      <c r="G204" s="143"/>
      <c r="H204" s="143"/>
      <c r="J204" s="278"/>
      <c r="K204" s="172"/>
      <c r="L204" s="143" t="s">
        <v>38</v>
      </c>
      <c r="M204" s="143"/>
      <c r="N204" s="143"/>
      <c r="O204" s="143"/>
      <c r="P204" s="143"/>
      <c r="Q204" s="143"/>
      <c r="S204" s="278"/>
      <c r="T204" s="172"/>
      <c r="U204" s="143" t="s">
        <v>38</v>
      </c>
      <c r="V204" s="143"/>
      <c r="W204" s="143"/>
      <c r="X204" s="143"/>
      <c r="Y204" s="143"/>
      <c r="Z204" s="143"/>
      <c r="AB204" s="278"/>
      <c r="AC204" s="214">
        <v>30</v>
      </c>
      <c r="AD204" s="143" t="s">
        <v>38</v>
      </c>
      <c r="AE204" s="143"/>
      <c r="AF204" s="143"/>
      <c r="AG204" s="143"/>
      <c r="AH204" s="143"/>
      <c r="AI204" s="143"/>
      <c r="AK204" s="278"/>
      <c r="AL204" s="172"/>
      <c r="AM204" s="143" t="s">
        <v>38</v>
      </c>
      <c r="AN204" s="143"/>
      <c r="AO204" s="143"/>
      <c r="AP204" s="143"/>
      <c r="AQ204" s="143"/>
      <c r="AR204" s="143"/>
      <c r="AT204" s="278"/>
      <c r="AU204" s="172"/>
      <c r="AV204" s="143" t="s">
        <v>38</v>
      </c>
      <c r="AW204" s="143"/>
      <c r="AX204" s="143"/>
      <c r="AY204" s="143"/>
      <c r="AZ204" s="143"/>
      <c r="BA204" s="143"/>
    </row>
    <row r="205" spans="1:53" ht="20.100000000000001" customHeight="1">
      <c r="A205" s="278"/>
      <c r="B205" s="172"/>
      <c r="C205" s="136" t="s">
        <v>32</v>
      </c>
      <c r="D205" s="136"/>
      <c r="E205" s="136"/>
      <c r="F205" s="136"/>
      <c r="G205" s="136"/>
      <c r="H205" s="136"/>
      <c r="J205" s="278">
        <v>36</v>
      </c>
      <c r="K205" s="172"/>
      <c r="L205" s="136" t="s">
        <v>32</v>
      </c>
      <c r="M205" s="136"/>
      <c r="N205" s="136"/>
      <c r="O205" s="136"/>
      <c r="P205" s="136"/>
      <c r="Q205" s="136"/>
      <c r="S205" s="278"/>
      <c r="T205" s="172"/>
      <c r="U205" s="189" t="s">
        <v>32</v>
      </c>
      <c r="V205" s="136"/>
      <c r="W205" s="136"/>
      <c r="X205" s="136"/>
      <c r="Y205" s="136"/>
      <c r="Z205" s="136"/>
      <c r="AB205" s="278">
        <v>44</v>
      </c>
      <c r="AC205" s="173">
        <v>31</v>
      </c>
      <c r="AD205" s="136" t="s">
        <v>32</v>
      </c>
      <c r="AE205" s="136"/>
      <c r="AF205" s="136"/>
      <c r="AG205" s="136"/>
      <c r="AH205" s="136"/>
      <c r="AI205" s="136"/>
      <c r="AK205" s="278"/>
      <c r="AL205" s="172"/>
      <c r="AM205" s="136" t="s">
        <v>32</v>
      </c>
      <c r="AN205" s="136"/>
      <c r="AO205" s="136"/>
      <c r="AP205" s="136"/>
      <c r="AQ205" s="136"/>
      <c r="AR205" s="136"/>
      <c r="AT205" s="278">
        <v>1</v>
      </c>
      <c r="AU205" s="172"/>
      <c r="AV205" s="136" t="s">
        <v>32</v>
      </c>
      <c r="AW205" s="136"/>
      <c r="AX205" s="136"/>
      <c r="AY205" s="136"/>
      <c r="AZ205" s="136"/>
      <c r="BA205" s="136"/>
    </row>
    <row r="206" spans="1:53" ht="20.100000000000001" customHeight="1">
      <c r="A206" s="278"/>
      <c r="B206" s="172"/>
      <c r="C206" s="136" t="s">
        <v>33</v>
      </c>
      <c r="D206" s="136"/>
      <c r="E206" s="136"/>
      <c r="F206" s="136"/>
      <c r="G206" s="136"/>
      <c r="H206" s="136"/>
      <c r="J206" s="278"/>
      <c r="K206" s="225"/>
      <c r="L206" s="136" t="s">
        <v>33</v>
      </c>
      <c r="M206" s="136"/>
      <c r="N206" s="136"/>
      <c r="O206" s="136"/>
      <c r="P206" s="136"/>
      <c r="Q206" s="136"/>
      <c r="S206" s="278"/>
      <c r="T206" s="172"/>
      <c r="U206" s="189" t="s">
        <v>33</v>
      </c>
      <c r="V206" s="136"/>
      <c r="W206" s="136"/>
      <c r="X206" s="136"/>
      <c r="Y206" s="136"/>
      <c r="Z206" s="136"/>
      <c r="AB206" s="278"/>
      <c r="AC206" s="222"/>
      <c r="AD206" s="136" t="s">
        <v>33</v>
      </c>
      <c r="AE206" s="136"/>
      <c r="AF206" s="136"/>
      <c r="AG206" s="136"/>
      <c r="AH206" s="136"/>
      <c r="AI206" s="136"/>
      <c r="AK206" s="278"/>
      <c r="AL206" s="172"/>
      <c r="AM206" s="136" t="s">
        <v>33</v>
      </c>
      <c r="AN206" s="136"/>
      <c r="AO206" s="136"/>
      <c r="AP206" s="136"/>
      <c r="AQ206" s="136"/>
      <c r="AR206" s="136"/>
      <c r="AT206" s="278"/>
      <c r="AU206" s="172"/>
      <c r="AV206" s="136" t="s">
        <v>33</v>
      </c>
      <c r="AW206" s="136"/>
      <c r="AX206" s="136"/>
      <c r="AY206" s="136"/>
      <c r="AZ206" s="136"/>
      <c r="BA206" s="136"/>
    </row>
    <row r="207" spans="1:53" ht="20.100000000000001" customHeight="1">
      <c r="A207" s="278"/>
      <c r="B207" s="226"/>
      <c r="C207" s="136" t="s">
        <v>34</v>
      </c>
      <c r="D207" s="136"/>
      <c r="E207" s="136"/>
      <c r="F207" s="136"/>
      <c r="G207" s="136"/>
      <c r="H207" s="136"/>
      <c r="J207" s="278"/>
      <c r="K207" s="227"/>
      <c r="L207" s="136" t="s">
        <v>34</v>
      </c>
      <c r="M207" s="136"/>
      <c r="N207" s="136"/>
      <c r="O207" s="136"/>
      <c r="P207" s="136"/>
      <c r="Q207" s="136"/>
      <c r="S207" s="278"/>
      <c r="T207" s="172"/>
      <c r="U207" s="189" t="s">
        <v>34</v>
      </c>
      <c r="V207" s="136"/>
      <c r="W207" s="136"/>
      <c r="X207" s="136"/>
      <c r="Y207" s="136"/>
      <c r="Z207" s="136"/>
      <c r="AB207" s="278"/>
      <c r="AC207" s="222"/>
      <c r="AD207" s="136" t="s">
        <v>34</v>
      </c>
      <c r="AE207" s="136"/>
      <c r="AF207" s="136"/>
      <c r="AG207" s="136"/>
      <c r="AH207" s="136"/>
      <c r="AI207" s="136"/>
      <c r="AK207" s="278"/>
      <c r="AL207" s="172"/>
      <c r="AM207" s="136" t="s">
        <v>34</v>
      </c>
      <c r="AN207" s="136"/>
      <c r="AO207" s="136"/>
      <c r="AP207" s="136"/>
      <c r="AQ207" s="136"/>
      <c r="AR207" s="136"/>
      <c r="AT207" s="278"/>
      <c r="AU207" s="172"/>
      <c r="AV207" s="136" t="s">
        <v>34</v>
      </c>
      <c r="AW207" s="136"/>
      <c r="AX207" s="136"/>
      <c r="AY207" s="136"/>
      <c r="AZ207" s="136"/>
      <c r="BA207" s="136"/>
    </row>
    <row r="208" spans="1:53" ht="20.100000000000001" customHeight="1">
      <c r="A208" s="278"/>
      <c r="B208" s="227"/>
      <c r="C208" s="136" t="s">
        <v>35</v>
      </c>
      <c r="D208" s="136"/>
      <c r="E208" s="136"/>
      <c r="F208" s="136"/>
      <c r="G208" s="136"/>
      <c r="H208" s="136"/>
      <c r="J208" s="278"/>
      <c r="K208" s="227"/>
      <c r="L208" s="136" t="s">
        <v>35</v>
      </c>
      <c r="M208" s="136"/>
      <c r="N208" s="136"/>
      <c r="O208" s="136"/>
      <c r="P208" s="136"/>
      <c r="Q208" s="136"/>
      <c r="S208" s="278"/>
      <c r="T208" s="227"/>
      <c r="U208" s="189" t="s">
        <v>35</v>
      </c>
      <c r="V208" s="136"/>
      <c r="W208" s="136"/>
      <c r="X208" s="136"/>
      <c r="Y208" s="136"/>
      <c r="Z208" s="136"/>
      <c r="AB208" s="278"/>
      <c r="AC208" s="227"/>
      <c r="AD208" s="136" t="s">
        <v>35</v>
      </c>
      <c r="AE208" s="136"/>
      <c r="AF208" s="136"/>
      <c r="AG208" s="136"/>
      <c r="AH208" s="136"/>
      <c r="AI208" s="136"/>
      <c r="AK208" s="278"/>
      <c r="AL208" s="227"/>
      <c r="AM208" s="136" t="s">
        <v>35</v>
      </c>
      <c r="AN208" s="136"/>
      <c r="AO208" s="136"/>
      <c r="AP208" s="136"/>
      <c r="AQ208" s="136"/>
      <c r="AR208" s="136"/>
      <c r="AT208" s="278"/>
      <c r="AU208" s="172"/>
      <c r="AV208" s="136" t="s">
        <v>35</v>
      </c>
      <c r="AW208" s="136"/>
      <c r="AX208" s="136"/>
      <c r="AY208" s="136"/>
      <c r="AZ208" s="136"/>
      <c r="BA208" s="136"/>
    </row>
    <row r="209" spans="1:53" ht="20.100000000000001" customHeight="1">
      <c r="A209" s="278"/>
      <c r="B209" s="227"/>
      <c r="C209" s="136" t="s">
        <v>36</v>
      </c>
      <c r="D209" s="136"/>
      <c r="E209" s="136"/>
      <c r="F209" s="136"/>
      <c r="G209" s="136"/>
      <c r="H209" s="136"/>
      <c r="J209" s="278"/>
      <c r="K209" s="227"/>
      <c r="L209" s="136" t="s">
        <v>36</v>
      </c>
      <c r="M209" s="136"/>
      <c r="N209" s="136"/>
      <c r="O209" s="136"/>
      <c r="P209" s="136"/>
      <c r="Q209" s="136"/>
      <c r="S209" s="278"/>
      <c r="T209" s="227"/>
      <c r="U209" s="189" t="s">
        <v>36</v>
      </c>
      <c r="V209" s="136"/>
      <c r="W209" s="136"/>
      <c r="X209" s="136"/>
      <c r="Y209" s="136"/>
      <c r="Z209" s="136"/>
      <c r="AB209" s="278"/>
      <c r="AC209" s="227"/>
      <c r="AD209" s="136" t="s">
        <v>36</v>
      </c>
      <c r="AE209" s="136"/>
      <c r="AF209" s="136"/>
      <c r="AG209" s="136"/>
      <c r="AH209" s="136"/>
      <c r="AI209" s="136"/>
      <c r="AK209" s="278"/>
      <c r="AL209" s="227"/>
      <c r="AM209" s="136" t="s">
        <v>36</v>
      </c>
      <c r="AN209" s="136"/>
      <c r="AO209" s="136"/>
      <c r="AP209" s="136"/>
      <c r="AQ209" s="136"/>
      <c r="AR209" s="136"/>
      <c r="AT209" s="278"/>
      <c r="AU209" s="227"/>
      <c r="AV209" s="136" t="s">
        <v>36</v>
      </c>
      <c r="AW209" s="136"/>
      <c r="AX209" s="136"/>
      <c r="AY209" s="136"/>
      <c r="AZ209" s="136"/>
      <c r="BA209" s="136"/>
    </row>
    <row r="210" spans="1:53" ht="20.100000000000001" customHeight="1">
      <c r="A210" s="278"/>
      <c r="B210" s="227"/>
      <c r="C210" s="141" t="s">
        <v>37</v>
      </c>
      <c r="D210" s="141"/>
      <c r="E210" s="141"/>
      <c r="F210" s="141"/>
      <c r="G210" s="141"/>
      <c r="H210" s="141"/>
      <c r="J210" s="278"/>
      <c r="K210" s="227"/>
      <c r="L210" s="141" t="s">
        <v>37</v>
      </c>
      <c r="M210" s="141"/>
      <c r="N210" s="141"/>
      <c r="O210" s="141"/>
      <c r="P210" s="141"/>
      <c r="Q210" s="141"/>
      <c r="S210" s="278"/>
      <c r="T210" s="227"/>
      <c r="U210" s="141" t="s">
        <v>37</v>
      </c>
      <c r="V210" s="141"/>
      <c r="W210" s="141"/>
      <c r="X210" s="141"/>
      <c r="Y210" s="141"/>
      <c r="Z210" s="141"/>
      <c r="AB210" s="278"/>
      <c r="AC210" s="227"/>
      <c r="AD210" s="141" t="s">
        <v>37</v>
      </c>
      <c r="AE210" s="141"/>
      <c r="AF210" s="141"/>
      <c r="AG210" s="141"/>
      <c r="AH210" s="141"/>
      <c r="AI210" s="141"/>
      <c r="AK210" s="278"/>
      <c r="AL210" s="227"/>
      <c r="AM210" s="141" t="s">
        <v>37</v>
      </c>
      <c r="AN210" s="141"/>
      <c r="AO210" s="141"/>
      <c r="AP210" s="141"/>
      <c r="AQ210" s="141"/>
      <c r="AR210" s="141"/>
      <c r="AT210" s="278"/>
      <c r="AU210" s="227"/>
      <c r="AV210" s="141" t="s">
        <v>37</v>
      </c>
      <c r="AW210" s="141"/>
      <c r="AX210" s="141"/>
      <c r="AY210" s="141"/>
      <c r="AZ210" s="141"/>
      <c r="BA210" s="141"/>
    </row>
    <row r="211" spans="1:53" ht="20.100000000000001" customHeight="1">
      <c r="A211" s="278"/>
      <c r="B211" s="221"/>
      <c r="C211" s="143" t="s">
        <v>38</v>
      </c>
      <c r="D211" s="143"/>
      <c r="E211" s="143"/>
      <c r="F211" s="143"/>
      <c r="G211" s="143"/>
      <c r="H211" s="143"/>
      <c r="J211" s="278"/>
      <c r="K211" s="221"/>
      <c r="L211" s="143" t="s">
        <v>38</v>
      </c>
      <c r="M211" s="143"/>
      <c r="N211" s="143"/>
      <c r="O211" s="143"/>
      <c r="P211" s="143"/>
      <c r="Q211" s="143"/>
      <c r="S211" s="278"/>
      <c r="T211" s="221"/>
      <c r="U211" s="143" t="s">
        <v>38</v>
      </c>
      <c r="V211" s="143"/>
      <c r="W211" s="143"/>
      <c r="X211" s="143"/>
      <c r="Y211" s="143"/>
      <c r="Z211" s="143"/>
      <c r="AB211" s="278"/>
      <c r="AC211" s="221"/>
      <c r="AD211" s="143" t="s">
        <v>38</v>
      </c>
      <c r="AE211" s="143"/>
      <c r="AF211" s="143"/>
      <c r="AG211" s="143"/>
      <c r="AH211" s="143"/>
      <c r="AI211" s="143"/>
      <c r="AK211" s="278"/>
      <c r="AL211" s="221"/>
      <c r="AM211" s="143" t="s">
        <v>38</v>
      </c>
      <c r="AN211" s="143"/>
      <c r="AO211" s="143"/>
      <c r="AP211" s="143"/>
      <c r="AQ211" s="143"/>
      <c r="AR211" s="143"/>
      <c r="AT211" s="278"/>
      <c r="AU211" s="221"/>
      <c r="AV211" s="143" t="s">
        <v>38</v>
      </c>
      <c r="AW211" s="143"/>
      <c r="AX211" s="143"/>
      <c r="AY211" s="143"/>
      <c r="AZ211" s="143"/>
      <c r="BA211" s="143"/>
    </row>
    <row r="212" spans="1:53" ht="19.5" hidden="1" customHeight="1" thickBot="1">
      <c r="B212" s="144">
        <f>C220-C214-I165-C226</f>
        <v>22</v>
      </c>
      <c r="C212" s="145">
        <f>SUM(B212+K212+T212)</f>
        <v>62</v>
      </c>
      <c r="D212" s="9">
        <f>C212*8</f>
        <v>496</v>
      </c>
      <c r="K212" s="144">
        <f>L220-L214-L226</f>
        <v>20</v>
      </c>
      <c r="T212" s="144">
        <f>U220-U214-U232-U226</f>
        <v>20</v>
      </c>
      <c r="AB212" s="174"/>
      <c r="AC212" s="144" t="e">
        <f>AD220-AD214-AM165-AL165</f>
        <v>#REF!</v>
      </c>
      <c r="AD212" s="145" t="e">
        <f>SUM(AC212+AL212+AU212)</f>
        <v>#REF!</v>
      </c>
      <c r="AE212" s="9" t="e">
        <f>AD212*8</f>
        <v>#REF!</v>
      </c>
      <c r="AL212" s="144">
        <f>AM220-AM214-BC253-AM226</f>
        <v>21</v>
      </c>
      <c r="AO212" s="136"/>
      <c r="AP212" s="136"/>
      <c r="AQ212" s="136"/>
      <c r="AR212" s="136"/>
      <c r="AU212" s="144">
        <f>AV220-AV214-AV232-AV226-AV238</f>
        <v>21</v>
      </c>
    </row>
    <row r="213" spans="1:53" ht="12.75" hidden="1" customHeight="1">
      <c r="A213" s="9" t="s">
        <v>48</v>
      </c>
      <c r="B213" s="9">
        <f>B212*8</f>
        <v>176</v>
      </c>
      <c r="C213" s="9" t="s">
        <v>40</v>
      </c>
      <c r="D213" s="9" t="s">
        <v>41</v>
      </c>
      <c r="K213" s="9">
        <f>K212*8</f>
        <v>160</v>
      </c>
      <c r="L213" s="9" t="s">
        <v>40</v>
      </c>
      <c r="M213" s="9" t="s">
        <v>41</v>
      </c>
      <c r="T213" s="9">
        <f>T212*8</f>
        <v>160</v>
      </c>
      <c r="U213" s="194" t="s">
        <v>40</v>
      </c>
      <c r="V213" s="9" t="s">
        <v>41</v>
      </c>
      <c r="AB213" s="278" t="s">
        <v>49</v>
      </c>
      <c r="AC213" s="9" t="e">
        <f>AC212*8</f>
        <v>#REF!</v>
      </c>
      <c r="AD213" s="9" t="s">
        <v>40</v>
      </c>
      <c r="AE213" s="9" t="s">
        <v>41</v>
      </c>
      <c r="AJ213" s="57"/>
      <c r="AK213" s="57"/>
      <c r="AL213" s="9">
        <f>AL212*8</f>
        <v>168</v>
      </c>
      <c r="AM213" s="9" t="s">
        <v>40</v>
      </c>
      <c r="AN213" s="9" t="s">
        <v>41</v>
      </c>
      <c r="AO213" s="136"/>
      <c r="AP213" s="136"/>
      <c r="AQ213" s="136"/>
      <c r="AR213" s="136"/>
      <c r="AS213" s="57"/>
      <c r="AT213" s="57"/>
      <c r="AU213" s="9">
        <f>AU212*8</f>
        <v>168</v>
      </c>
      <c r="AV213" s="9" t="s">
        <v>40</v>
      </c>
      <c r="AW213" s="9" t="s">
        <v>41</v>
      </c>
    </row>
    <row r="214" spans="1:53" ht="12.75" hidden="1" customHeight="1">
      <c r="B214" s="146">
        <f>COUNTIF($B$170:$B$176,"&lt;1")</f>
        <v>0</v>
      </c>
      <c r="C214" s="73">
        <f>SUM(B214:B219)</f>
        <v>0</v>
      </c>
      <c r="K214" s="146">
        <f>COUNTIF($K$172:$K$176,"&lt;1")</f>
        <v>0</v>
      </c>
      <c r="L214" s="73">
        <f>SUM(K214:K219)</f>
        <v>0</v>
      </c>
      <c r="T214" s="146">
        <f>COUNTIF($T$170:$T$176,"&lt;1")</f>
        <v>1</v>
      </c>
      <c r="U214" s="191">
        <f>SUM(T214:T219)</f>
        <v>1</v>
      </c>
      <c r="AB214" s="278"/>
      <c r="AC214" s="146" t="e">
        <f>COUNTIF(#REF!,"&lt;1")</f>
        <v>#REF!</v>
      </c>
      <c r="AD214" s="73" t="e">
        <f>SUM(AC214:AC219)</f>
        <v>#REF!</v>
      </c>
      <c r="AL214" s="146">
        <f>COUNTIF($AL$170:$AL$176,"&lt;1")</f>
        <v>0</v>
      </c>
      <c r="AM214" s="73">
        <f>SUM(AL214:AL219)</f>
        <v>0</v>
      </c>
      <c r="AO214" s="136"/>
      <c r="AP214" s="136"/>
      <c r="AQ214" s="136"/>
      <c r="AR214" s="136"/>
      <c r="AU214" s="146">
        <f>COUNTIF($AU$170:$AU$176,"&lt;1")</f>
        <v>1</v>
      </c>
      <c r="AV214" s="73">
        <f>SUM(AU214:AU219)</f>
        <v>1</v>
      </c>
    </row>
    <row r="215" spans="1:53" ht="12.75" hidden="1" customHeight="1">
      <c r="B215" s="146">
        <f>COUNTIF($B$179:$B$183,"&lt;1")</f>
        <v>0</v>
      </c>
      <c r="K215" s="146">
        <f>COUNTIF($K$179:$K$183,"&lt;1")</f>
        <v>0</v>
      </c>
      <c r="T215" s="146">
        <f>COUNTIF($T$179:$T$183,"&lt;1")</f>
        <v>0</v>
      </c>
      <c r="AB215" s="278"/>
      <c r="AC215" s="146">
        <f>COUNTIF($AC$172:$AC$176,"&lt;1")</f>
        <v>0</v>
      </c>
      <c r="AL215" s="146">
        <f>COUNTIF($AL$179:$AL$183,"&lt;1")</f>
        <v>0</v>
      </c>
      <c r="AO215" s="136"/>
      <c r="AP215" s="136"/>
      <c r="AQ215" s="136"/>
      <c r="AR215" s="136"/>
      <c r="AU215" s="146">
        <f>COUNTIF($AU$179:$AU$183,"&lt;1")</f>
        <v>0</v>
      </c>
    </row>
    <row r="216" spans="1:53" ht="12.75" hidden="1" customHeight="1">
      <c r="B216" s="146">
        <f>COUNTIF($B$186:$B$190,"&lt;1")</f>
        <v>0</v>
      </c>
      <c r="K216" s="146">
        <f>COUNTIF($K$186:$K$190,"&lt;1")</f>
        <v>0</v>
      </c>
      <c r="T216" s="146">
        <f>COUNTIF($T$186:$T$190,"&lt;1")</f>
        <v>0</v>
      </c>
      <c r="AB216" s="278"/>
      <c r="AC216" s="146">
        <f>COUNTIF($AC$179:$AC$183,"&lt;1")</f>
        <v>0</v>
      </c>
      <c r="AL216" s="146">
        <f>COUNTIF($AL$186:$AL$190,"&lt;1")</f>
        <v>0</v>
      </c>
      <c r="AO216" s="136"/>
      <c r="AP216" s="136"/>
      <c r="AQ216" s="136"/>
      <c r="AR216" s="136"/>
      <c r="AU216" s="146">
        <f>COUNTIF($AU$186:$AU$190,"&lt;1")</f>
        <v>0</v>
      </c>
    </row>
    <row r="217" spans="1:53" ht="12.75" hidden="1" customHeight="1">
      <c r="B217" s="146">
        <f>COUNTIF($B$193:$B$197,"&lt;1")</f>
        <v>0</v>
      </c>
      <c r="K217" s="146">
        <f>COUNTIF($K$193:$K$197,"&lt;1")</f>
        <v>0</v>
      </c>
      <c r="T217" s="146">
        <f>COUNTIF($T$193:$T$197,"&lt;1")</f>
        <v>0</v>
      </c>
      <c r="AB217" s="278"/>
      <c r="AC217" s="146">
        <f>COUNTIF($AC$186:$AC$190,"&lt;1")</f>
        <v>0</v>
      </c>
      <c r="AL217" s="146">
        <f>COUNTIF($AL$193:$AL$197,"&lt;1")</f>
        <v>0</v>
      </c>
      <c r="AO217" s="175"/>
      <c r="AP217" s="175"/>
      <c r="AQ217" s="175"/>
      <c r="AR217" s="175"/>
      <c r="AU217" s="146">
        <f>COUNTIF($AU$193:$AU$197,"&lt;1")</f>
        <v>0</v>
      </c>
    </row>
    <row r="218" spans="1:53" ht="12.75" hidden="1" customHeight="1">
      <c r="B218" s="146">
        <f>COUNTIF($B$200:$B$204,"&lt;1")</f>
        <v>0</v>
      </c>
      <c r="K218" s="146">
        <f>COUNTIF($K$200:$K$202,"&lt;1")</f>
        <v>0</v>
      </c>
      <c r="T218" s="146">
        <f>COUNTIF($T$200:$T$204,"&lt;1")</f>
        <v>0</v>
      </c>
      <c r="AB218" s="278"/>
      <c r="AC218" s="146">
        <f>COUNTIF($AC$193:$AC$197,"&lt;1")</f>
        <v>0</v>
      </c>
      <c r="AL218" s="146">
        <f>COUNTIF($AL$200:$AL$202,"&lt;1")</f>
        <v>0</v>
      </c>
      <c r="AO218" s="176"/>
      <c r="AP218" s="176"/>
      <c r="AQ218" s="176"/>
      <c r="AR218" s="176"/>
      <c r="AU218" s="146">
        <f>COUNTIF($AU$200:$AU$204,"&lt;1")</f>
        <v>0</v>
      </c>
    </row>
    <row r="219" spans="1:53" ht="12.75" hidden="1" customHeight="1">
      <c r="B219" s="146">
        <f>COUNTIF($B$207:$B$209,"&lt;1")</f>
        <v>0</v>
      </c>
      <c r="K219" s="146">
        <f>COUNTIF($K$205:$K$209,"&lt;1")</f>
        <v>0</v>
      </c>
      <c r="T219" s="146">
        <f>COUNTIF($T$205:$T$209,"&lt;1")</f>
        <v>0</v>
      </c>
      <c r="AB219" s="278"/>
      <c r="AC219" s="146">
        <f>COUNTIF($AC$200:$AC$209,"&lt;1")</f>
        <v>0</v>
      </c>
      <c r="AL219" s="146">
        <f>COUNTIF($AL$205:$AL$209,"&lt;1")</f>
        <v>0</v>
      </c>
      <c r="AO219" s="136"/>
      <c r="AP219" s="136"/>
      <c r="AQ219" s="136"/>
      <c r="AR219" s="136"/>
      <c r="AU219" s="146">
        <f>COUNTIF($AU$206:$AU$209,"&lt;1")</f>
        <v>0</v>
      </c>
    </row>
    <row r="220" spans="1:53" ht="12.75" hidden="1" customHeight="1">
      <c r="B220" s="148">
        <f>COUNTIF($B$170:$B$176,"&lt;32")</f>
        <v>3</v>
      </c>
      <c r="C220" s="73">
        <f>SUM(B220:B225)</f>
        <v>23</v>
      </c>
      <c r="K220" s="148">
        <f>COUNTIF($K$172:$K$176,"&lt;29")</f>
        <v>5</v>
      </c>
      <c r="L220" s="73">
        <f>SUM(K220:K225)</f>
        <v>20</v>
      </c>
      <c r="T220" s="148">
        <f>COUNTIF($T$170:$T$176,"&lt;31")</f>
        <v>5</v>
      </c>
      <c r="U220" s="191">
        <f>SUM(T220:T225)</f>
        <v>23</v>
      </c>
      <c r="AB220" s="278"/>
      <c r="AC220" s="148" t="e">
        <f>COUNTIF(#REF!,"&lt;32")</f>
        <v>#REF!</v>
      </c>
      <c r="AD220" s="73" t="e">
        <f>SUM(AC220:AC225)</f>
        <v>#REF!</v>
      </c>
      <c r="AL220" s="148">
        <f>COUNTIF($AL$170:$AL$176,"&lt;31")</f>
        <v>6</v>
      </c>
      <c r="AM220" s="73">
        <f>SUM(AL220:AL225)</f>
        <v>22</v>
      </c>
      <c r="AO220" s="136"/>
      <c r="AP220" s="136"/>
      <c r="AQ220" s="136"/>
      <c r="AR220" s="136"/>
      <c r="AU220" s="148">
        <f>COUNTIF($AU$170:$AU$176,"&lt;32")</f>
        <v>5</v>
      </c>
      <c r="AV220" s="73">
        <f>SUM(AU220:AU225)</f>
        <v>24</v>
      </c>
    </row>
    <row r="221" spans="1:53" ht="12.75" hidden="1" customHeight="1">
      <c r="B221" s="148">
        <f>COUNTIF($B$179:$B$183,"&lt;32")</f>
        <v>5</v>
      </c>
      <c r="K221" s="148">
        <f>COUNTIF($K$179:$K$183,"&lt;29")</f>
        <v>5</v>
      </c>
      <c r="T221" s="148">
        <f>COUNTIF($T$179:$T$183,"&lt;31")</f>
        <v>5</v>
      </c>
      <c r="AB221" s="278"/>
      <c r="AC221" s="148">
        <f>COUNTIF($AC$172:$AC$176,"&lt;32")</f>
        <v>2</v>
      </c>
      <c r="AL221" s="148">
        <f>COUNTIF($AL$179:$AL$183,"&lt;31")</f>
        <v>5</v>
      </c>
      <c r="AO221" s="136"/>
      <c r="AP221" s="136"/>
      <c r="AQ221" s="136"/>
      <c r="AR221" s="136"/>
      <c r="AU221" s="148">
        <f>COUNTIF($AU$179:$AU$183,"&lt;32")</f>
        <v>5</v>
      </c>
    </row>
    <row r="222" spans="1:53" ht="12.75" hidden="1" customHeight="1">
      <c r="B222" s="148">
        <f>COUNTIF($B$186:$B$190,"&lt;32")</f>
        <v>5</v>
      </c>
      <c r="K222" s="148">
        <f>COUNTIF($K$186:$K$190,"&lt;29")</f>
        <v>5</v>
      </c>
      <c r="T222" s="148">
        <f>COUNTIF($T$186:$T$190,"&lt;31")</f>
        <v>5</v>
      </c>
      <c r="AB222" s="278"/>
      <c r="AC222" s="148">
        <f>COUNTIF($AC$179:$AC$183,"&lt;32")</f>
        <v>5</v>
      </c>
      <c r="AL222" s="148">
        <f>COUNTIF($AL$186:$AL$190,"&lt;31")</f>
        <v>5</v>
      </c>
      <c r="AO222" s="136"/>
      <c r="AP222" s="136"/>
      <c r="AQ222" s="136"/>
      <c r="AR222" s="136"/>
      <c r="AU222" s="148">
        <f>COUNTIF($AU$186:$AU$190,"&lt;32")</f>
        <v>5</v>
      </c>
    </row>
    <row r="223" spans="1:53" ht="12.75" hidden="1" customHeight="1">
      <c r="B223" s="148">
        <f>COUNTIF($B$193:$B$197,"&lt;32")</f>
        <v>5</v>
      </c>
      <c r="K223" s="148">
        <f>COUNTIF($K$193:$K$197,"&lt;29")</f>
        <v>5</v>
      </c>
      <c r="T223" s="148">
        <f>COUNTIF($T$193:$T$197,"&lt;31")</f>
        <v>5</v>
      </c>
      <c r="AB223" s="278"/>
      <c r="AC223" s="148">
        <f>COUNTIF($AC$186:$AC$190,"&lt;32")</f>
        <v>5</v>
      </c>
      <c r="AL223" s="148">
        <f>COUNTIF($AL$193:$AL$197,"&lt;31")</f>
        <v>5</v>
      </c>
      <c r="AO223" s="136"/>
      <c r="AP223" s="136"/>
      <c r="AQ223" s="136"/>
      <c r="AR223" s="136"/>
      <c r="AU223" s="148">
        <f>COUNTIF($AU$193:$AU$197,"&lt;32")</f>
        <v>5</v>
      </c>
    </row>
    <row r="224" spans="1:53" ht="12.75" hidden="1" customHeight="1">
      <c r="B224" s="148">
        <f>COUNTIF($B$200:$B$204,"&lt;32")</f>
        <v>5</v>
      </c>
      <c r="K224" s="148">
        <f>COUNTIF($K$200:$K$202,"&lt;29")</f>
        <v>0</v>
      </c>
      <c r="T224" s="148">
        <f>COUNTIF($T$200:$T$204,"&lt;31")</f>
        <v>3</v>
      </c>
      <c r="AB224" s="278"/>
      <c r="AC224" s="148">
        <f>COUNTIF($AC$193:$AC$197,"&lt;32")</f>
        <v>5</v>
      </c>
      <c r="AL224" s="148">
        <f>COUNTIF($AL$200:$AL$202,"&lt;31")</f>
        <v>1</v>
      </c>
      <c r="AO224" s="175"/>
      <c r="AP224" s="175"/>
      <c r="AQ224" s="175"/>
      <c r="AR224" s="175"/>
      <c r="AU224" s="148">
        <f>COUNTIF($AU$200:$AU$204,"&lt;32")</f>
        <v>4</v>
      </c>
    </row>
    <row r="225" spans="2:48" ht="12.75" hidden="1" customHeight="1">
      <c r="B225" s="148">
        <f>COUNTIF($B$207:$B$209,"&lt;32")</f>
        <v>0</v>
      </c>
      <c r="K225" s="148">
        <f>COUNTIF($K$205:$K$209,"&lt;29")</f>
        <v>0</v>
      </c>
      <c r="T225" s="148">
        <f>COUNTIF($T$205:$T$209,"&lt;31")</f>
        <v>0</v>
      </c>
      <c r="AB225" s="278"/>
      <c r="AC225" s="148">
        <f>COUNTIF($AC$200:$AC$209,"&lt;32")</f>
        <v>6</v>
      </c>
      <c r="AL225" s="148">
        <f>COUNTIF($AL$205:$AL$209,"&lt;31")</f>
        <v>0</v>
      </c>
      <c r="AO225" s="176"/>
      <c r="AP225" s="176"/>
      <c r="AQ225" s="176"/>
      <c r="AR225" s="176"/>
      <c r="AU225" s="148">
        <f>COUNTIF($AU$206:$AU$209,"&lt;32")</f>
        <v>0</v>
      </c>
    </row>
    <row r="226" spans="2:48" ht="12.75" hidden="1" customHeight="1">
      <c r="B226" s="146">
        <f>COUNTIF($B$170:$B$176,1)</f>
        <v>1</v>
      </c>
      <c r="C226" s="73">
        <f>SUM(B226:B231)</f>
        <v>1</v>
      </c>
      <c r="K226" s="146">
        <f>COUNTIF($K$172:$K$176,29)</f>
        <v>0</v>
      </c>
      <c r="L226" s="73">
        <f>SUM(K226:K231)</f>
        <v>0</v>
      </c>
      <c r="T226" s="146">
        <f>COUNTIF($T$170:$T$176,1)</f>
        <v>1</v>
      </c>
      <c r="U226" s="191">
        <f>SUM(T226:T231)</f>
        <v>1</v>
      </c>
      <c r="AB226" s="278"/>
      <c r="AC226" s="146" t="e">
        <f>COUNTIF(#REF!,1)</f>
        <v>#REF!</v>
      </c>
      <c r="AL226" s="146">
        <f>COUNTIF($AL$170:$AL$176,1)</f>
        <v>1</v>
      </c>
      <c r="AM226" s="73">
        <f>SUM(AL226:AL231)</f>
        <v>1</v>
      </c>
      <c r="AO226" s="136"/>
      <c r="AP226" s="136"/>
      <c r="AQ226" s="136"/>
      <c r="AR226" s="136"/>
      <c r="AU226" s="146">
        <f>COUNTIF($AU$170:$AU$176,24)</f>
        <v>0</v>
      </c>
      <c r="AV226" s="73">
        <f>SUM(AU226:AU231)</f>
        <v>1</v>
      </c>
    </row>
    <row r="227" spans="2:48" ht="12.75" hidden="1" customHeight="1">
      <c r="B227" s="146">
        <f>COUNTIF($B$179:$B$183,1)</f>
        <v>0</v>
      </c>
      <c r="K227" s="146">
        <f>COUNTIF($K$179:$K$183,29)</f>
        <v>0</v>
      </c>
      <c r="T227" s="146">
        <f>COUNTIF($T$179:$T$183,1)</f>
        <v>0</v>
      </c>
      <c r="AB227" s="278"/>
      <c r="AC227" s="146">
        <f>COUNTIF($AC$172:$AC$176,1)</f>
        <v>1</v>
      </c>
      <c r="AL227" s="146">
        <f>COUNTIF($AL$179:$AL$183,1)</f>
        <v>0</v>
      </c>
      <c r="AO227" s="136"/>
      <c r="AP227" s="136"/>
      <c r="AQ227" s="136"/>
      <c r="AR227" s="136"/>
      <c r="AU227" s="146">
        <f>COUNTIF($AU$179:$AU$183,24)</f>
        <v>0</v>
      </c>
    </row>
    <row r="228" spans="2:48" ht="12.75" hidden="1" customHeight="1">
      <c r="B228" s="146">
        <f>COUNTIF($B$186:$B$190,1)</f>
        <v>0</v>
      </c>
      <c r="K228" s="146">
        <f>COUNTIF($K$186:$K$190,29)</f>
        <v>0</v>
      </c>
      <c r="T228" s="146">
        <f>COUNTIF($T$186:$T$190,1)</f>
        <v>0</v>
      </c>
      <c r="AB228" s="278"/>
      <c r="AC228" s="146">
        <f>COUNTIF($AC$179:$AC$183,1)</f>
        <v>0</v>
      </c>
      <c r="AL228" s="146">
        <f>COUNTIF($AL$186:$AL$190,1)</f>
        <v>0</v>
      </c>
      <c r="AO228" s="136"/>
      <c r="AP228" s="136"/>
      <c r="AQ228" s="136"/>
      <c r="AR228" s="136"/>
      <c r="AU228" s="146">
        <f>COUNTIF($AU$186:$AU$190,24)</f>
        <v>0</v>
      </c>
    </row>
    <row r="229" spans="2:48" ht="12.75" hidden="1" customHeight="1">
      <c r="B229" s="146">
        <f>COUNTIF($B$193:$B$197,1)</f>
        <v>0</v>
      </c>
      <c r="K229" s="146">
        <f>COUNTIF($K$193:$K$197,29)</f>
        <v>0</v>
      </c>
      <c r="T229" s="146">
        <f>COUNTIF($T$193:$T$197,1)</f>
        <v>0</v>
      </c>
      <c r="AB229" s="278"/>
      <c r="AC229" s="146">
        <f>COUNTIF($AC$186:$AC$190,1)</f>
        <v>0</v>
      </c>
      <c r="AL229" s="146">
        <f>COUNTIF($AL$193:$AL$197,1)</f>
        <v>0</v>
      </c>
      <c r="AO229" s="136"/>
      <c r="AP229" s="136"/>
      <c r="AQ229" s="136"/>
      <c r="AR229" s="136"/>
      <c r="AU229" s="146">
        <f>COUNTIF($AU$193:$AU$197,24)</f>
        <v>1</v>
      </c>
    </row>
    <row r="230" spans="2:48" ht="12.75" hidden="1" customHeight="1">
      <c r="B230" s="146">
        <f>COUNTIF($B$200:$B$204,1)</f>
        <v>0</v>
      </c>
      <c r="K230" s="146">
        <f>COUNTIF($K$200:$K$202,29)</f>
        <v>0</v>
      </c>
      <c r="T230" s="146">
        <f>COUNTIF($T$200:$T$204,1)</f>
        <v>0</v>
      </c>
      <c r="AB230" s="278"/>
      <c r="AC230" s="146">
        <f>COUNTIF($AC$193:$AC$197,1)</f>
        <v>0</v>
      </c>
      <c r="AL230" s="146">
        <f>COUNTIF($AL$200:$AL$202,1)</f>
        <v>0</v>
      </c>
      <c r="AO230" s="136"/>
      <c r="AP230" s="136"/>
      <c r="AQ230" s="136"/>
      <c r="AR230" s="136"/>
      <c r="AU230" s="146">
        <f>COUNTIF($AU$200:$AU$204,24)</f>
        <v>0</v>
      </c>
    </row>
    <row r="231" spans="2:48" ht="12.75" hidden="1" customHeight="1">
      <c r="B231" s="146">
        <f>COUNTIF($B$207:$B$209,1)</f>
        <v>0</v>
      </c>
      <c r="K231" s="146">
        <f>COUNTIF($K$205:$K$209,29)</f>
        <v>0</v>
      </c>
      <c r="T231" s="146">
        <f>COUNTIF($T$205:$T$209,1)</f>
        <v>0</v>
      </c>
      <c r="AB231" s="278"/>
      <c r="AC231" s="146">
        <f>COUNTIF($AC$200:$AC$209,1)</f>
        <v>0</v>
      </c>
      <c r="AL231" s="146">
        <f>COUNTIF($AL$205:$AL$209,1)</f>
        <v>0</v>
      </c>
      <c r="AO231" s="175"/>
      <c r="AP231" s="175"/>
      <c r="AQ231" s="175"/>
      <c r="AR231" s="175"/>
      <c r="AU231" s="146">
        <f>COUNTIF($AU$206:$AU$209,24)</f>
        <v>0</v>
      </c>
    </row>
    <row r="232" spans="2:48" ht="12.75" hidden="1" customHeight="1">
      <c r="B232" s="148">
        <f>COUNTIF($B$170:$B$176,"6")</f>
        <v>0</v>
      </c>
      <c r="C232" s="73">
        <f>SUM(B232:B237)</f>
        <v>1</v>
      </c>
      <c r="K232" s="148">
        <f>COUNTIF($K$172:$K$176,"6")</f>
        <v>1</v>
      </c>
      <c r="T232" s="148">
        <f>COUNTIF($T$170:$T$176,"15")</f>
        <v>0</v>
      </c>
      <c r="U232" s="191">
        <f>SUM(T232:T237)</f>
        <v>1</v>
      </c>
      <c r="AB232" s="278"/>
      <c r="AC232" s="148" t="e">
        <f>COUNTIF(#REF!,"6")</f>
        <v>#REF!</v>
      </c>
      <c r="AL232" s="148">
        <f>COUNTIF($AL$170:$AL$176,"6")</f>
        <v>1</v>
      </c>
      <c r="AO232" s="176"/>
      <c r="AP232" s="176"/>
      <c r="AQ232" s="176"/>
      <c r="AR232" s="176"/>
      <c r="AU232" s="148">
        <f>COUNTIF($AU$170:$AU$176,"25")</f>
        <v>0</v>
      </c>
      <c r="AV232" s="73">
        <f>SUM(AU232:AU237)</f>
        <v>1</v>
      </c>
    </row>
    <row r="233" spans="2:48" ht="12.75" hidden="1" customHeight="1">
      <c r="B233" s="148">
        <f>COUNTIF($B$179:$B$183,"6")</f>
        <v>1</v>
      </c>
      <c r="K233" s="148">
        <f>COUNTIF($K$179:$K$183,"6")</f>
        <v>0</v>
      </c>
      <c r="T233" s="148">
        <f>COUNTIF($T$179:$T$183,"15")</f>
        <v>0</v>
      </c>
      <c r="AB233" s="278"/>
      <c r="AC233" s="148">
        <f>COUNTIF($AC$172:$AC$176,"6")</f>
        <v>0</v>
      </c>
      <c r="AL233" s="148">
        <f>COUNTIF($AL$179:$AL$183,"6")</f>
        <v>0</v>
      </c>
      <c r="AO233" s="136"/>
      <c r="AP233" s="136"/>
      <c r="AQ233" s="136"/>
      <c r="AR233" s="136"/>
      <c r="AU233" s="148">
        <f>COUNTIF($AU$179:$AU$183,"25")</f>
        <v>0</v>
      </c>
    </row>
    <row r="234" spans="2:48" ht="12.75" hidden="1" customHeight="1">
      <c r="B234" s="148">
        <f>COUNTIF($B$186:$B$190,"6")</f>
        <v>0</v>
      </c>
      <c r="K234" s="148">
        <f>COUNTIF($K$186:$K$190,"6")</f>
        <v>0</v>
      </c>
      <c r="T234" s="148">
        <f>COUNTIF($T$186:$T$190,"15")</f>
        <v>1</v>
      </c>
      <c r="AB234" s="278"/>
      <c r="AC234" s="148">
        <f>COUNTIF($AC$179:$AC$183,"6")</f>
        <v>1</v>
      </c>
      <c r="AL234" s="148">
        <f>COUNTIF($AL$186:$AL$190,"6")</f>
        <v>0</v>
      </c>
      <c r="AO234" s="136"/>
      <c r="AP234" s="136"/>
      <c r="AQ234" s="136"/>
      <c r="AR234" s="136"/>
      <c r="AU234" s="148">
        <f>COUNTIF($AU$186:$AU$190,"25")</f>
        <v>0</v>
      </c>
    </row>
    <row r="235" spans="2:48" ht="12.75" hidden="1" customHeight="1">
      <c r="B235" s="148">
        <f>COUNTIF($B$193:$B$197,"6")</f>
        <v>0</v>
      </c>
      <c r="K235" s="148">
        <f>COUNTIF($K$193:$K$197,"6")</f>
        <v>0</v>
      </c>
      <c r="T235" s="148">
        <f>COUNTIF($T$193:$T$197,"15")</f>
        <v>0</v>
      </c>
      <c r="AB235" s="278"/>
      <c r="AC235" s="148">
        <f>COUNTIF($AC$186:$AC$190,"6")</f>
        <v>0</v>
      </c>
      <c r="AL235" s="148">
        <f>COUNTIF($AL$193:$AL$197,"6")</f>
        <v>0</v>
      </c>
      <c r="AO235" s="136"/>
      <c r="AP235" s="136"/>
      <c r="AQ235" s="136"/>
      <c r="AR235" s="136"/>
      <c r="AU235" s="148">
        <f>COUNTIF($AU$193:$AU$197,"25")</f>
        <v>1</v>
      </c>
    </row>
    <row r="236" spans="2:48" ht="12.75" hidden="1" customHeight="1">
      <c r="B236" s="148">
        <f>COUNTIF($B$200:$B$204,"6")</f>
        <v>0</v>
      </c>
      <c r="K236" s="148">
        <f>COUNTIF($K$200:$K$202,"6")</f>
        <v>0</v>
      </c>
      <c r="T236" s="148">
        <f>COUNTIF($T$200:$T$204,"15")</f>
        <v>0</v>
      </c>
      <c r="AB236" s="278"/>
      <c r="AC236" s="148">
        <f>COUNTIF($AC$193:$AC$197,"6")</f>
        <v>0</v>
      </c>
      <c r="AL236" s="148">
        <f>COUNTIF($AL$200:$AL$202,"6")</f>
        <v>0</v>
      </c>
      <c r="AO236" s="136"/>
      <c r="AP236" s="136"/>
      <c r="AQ236" s="136"/>
      <c r="AR236" s="136"/>
      <c r="AU236" s="148">
        <f>COUNTIF($AU$200:$AU$204,"25")</f>
        <v>0</v>
      </c>
    </row>
    <row r="237" spans="2:48" ht="12.75" hidden="1" customHeight="1">
      <c r="B237" s="148">
        <f>COUNTIF($B$207:$B$209,"6")</f>
        <v>0</v>
      </c>
      <c r="K237" s="148">
        <f>COUNTIF($K$205:$K$209,"6")</f>
        <v>0</v>
      </c>
      <c r="T237" s="148">
        <f>COUNTIF($T$205:$T$209,"15")</f>
        <v>0</v>
      </c>
      <c r="AB237" s="278"/>
      <c r="AC237" s="148">
        <f>COUNTIF($AC$200:$AC$209,"6")</f>
        <v>0</v>
      </c>
      <c r="AL237" s="148">
        <f>COUNTIF($AL$205:$AL$209,"6")</f>
        <v>0</v>
      </c>
      <c r="AO237" s="136"/>
      <c r="AP237" s="136"/>
      <c r="AQ237" s="136"/>
      <c r="AR237" s="136"/>
      <c r="AU237" s="148">
        <f>COUNTIF($AU$206:$AU$209,"25")</f>
        <v>0</v>
      </c>
    </row>
    <row r="238" spans="2:48" ht="12.75" hidden="1" customHeight="1">
      <c r="B238" s="146">
        <f>COUNTIF($B$170:$B$176,"&lt;1")</f>
        <v>0</v>
      </c>
      <c r="K238" s="146">
        <f>COUNTIF($K$172:$K$176,"&lt;1")</f>
        <v>0</v>
      </c>
      <c r="T238" s="146">
        <f>COUNTIF($T$170:$T$176,"&lt;1")</f>
        <v>1</v>
      </c>
      <c r="AB238" s="278"/>
      <c r="AC238" s="146" t="e">
        <f>COUNTIF(#REF!,"&lt;1")</f>
        <v>#REF!</v>
      </c>
      <c r="AL238" s="146">
        <f>COUNTIF($AL$170:$AL$176,"&lt;1")</f>
        <v>0</v>
      </c>
      <c r="AO238" s="175"/>
      <c r="AP238" s="175"/>
      <c r="AQ238" s="175"/>
      <c r="AR238" s="175"/>
      <c r="AU238" s="146">
        <f>COUNTIF($AU$170:$AU$176,"26")</f>
        <v>0</v>
      </c>
      <c r="AV238" s="73">
        <f>SUM(AU238:AU243)</f>
        <v>0</v>
      </c>
    </row>
    <row r="239" spans="2:48" ht="12.75" hidden="1" customHeight="1">
      <c r="B239" s="146">
        <f>COUNTIF($B$179:$B$183,"&lt;1")</f>
        <v>0</v>
      </c>
      <c r="K239" s="146">
        <f>COUNTIF($K$179:$K$183,"&lt;1")</f>
        <v>0</v>
      </c>
      <c r="T239" s="146">
        <f>COUNTIF($T$179:$T$183,"&lt;1")</f>
        <v>0</v>
      </c>
      <c r="AB239" s="278"/>
      <c r="AC239" s="146">
        <f>COUNTIF($AC$172:$AC$176,"&lt;1")</f>
        <v>0</v>
      </c>
      <c r="AL239" s="146">
        <f>COUNTIF($AL$179:$AL$183,"&lt;1")</f>
        <v>0</v>
      </c>
      <c r="AO239" s="176"/>
      <c r="AP239" s="176"/>
      <c r="AQ239" s="176"/>
      <c r="AR239" s="176"/>
      <c r="AU239" s="146">
        <f>COUNTIF($AU$179:$AU$183,"26")</f>
        <v>0</v>
      </c>
    </row>
    <row r="240" spans="2:48" ht="12.75" hidden="1" customHeight="1">
      <c r="B240" s="146">
        <f>COUNTIF($B$186:$B$190,"&lt;1")</f>
        <v>0</v>
      </c>
      <c r="K240" s="146">
        <f>COUNTIF($K$186:$K$190,"&lt;1")</f>
        <v>0</v>
      </c>
      <c r="T240" s="146">
        <f>COUNTIF($T$186:$T$190,"&lt;1")</f>
        <v>0</v>
      </c>
      <c r="AB240" s="278"/>
      <c r="AC240" s="146">
        <f>COUNTIF($AC$179:$AC$183,"&lt;1")</f>
        <v>0</v>
      </c>
      <c r="AL240" s="146">
        <f>COUNTIF($AL$186:$AL$190,"&lt;1")</f>
        <v>0</v>
      </c>
      <c r="AO240" s="136"/>
      <c r="AP240" s="136"/>
      <c r="AQ240" s="136"/>
      <c r="AR240" s="136"/>
      <c r="AU240" s="146">
        <f>COUNTIF($AU$186:$AU$190,"26")</f>
        <v>0</v>
      </c>
    </row>
    <row r="241" spans="1:55" ht="12.75" hidden="1" customHeight="1">
      <c r="B241" s="146">
        <f>COUNTIF($B$193:$B$197,"&lt;1")</f>
        <v>0</v>
      </c>
      <c r="K241" s="146">
        <f>COUNTIF($K$193:$K$197,"&lt;1")</f>
        <v>0</v>
      </c>
      <c r="T241" s="146">
        <f>COUNTIF($T$193:$T$197,"&lt;1")</f>
        <v>0</v>
      </c>
      <c r="AB241" s="278"/>
      <c r="AC241" s="146">
        <f>COUNTIF($AC$186:$AC$190,"&lt;1")</f>
        <v>0</v>
      </c>
      <c r="AL241" s="146">
        <f>COUNTIF($AL$193:$AL$197,"&lt;1")</f>
        <v>0</v>
      </c>
      <c r="AO241" s="136"/>
      <c r="AP241" s="136"/>
      <c r="AQ241" s="136"/>
      <c r="AR241" s="136"/>
      <c r="AU241" s="146">
        <f>COUNTIF($AU$193:$AU$197,"26")</f>
        <v>0</v>
      </c>
    </row>
    <row r="242" spans="1:55" ht="12.75" hidden="1" customHeight="1">
      <c r="B242" s="146">
        <f>COUNTIF($B$200:$B$204,"&lt;1")</f>
        <v>0</v>
      </c>
      <c r="K242" s="146">
        <f>COUNTIF($K$200:$K$202,"&lt;1")</f>
        <v>0</v>
      </c>
      <c r="T242" s="146">
        <f>COUNTIF($T$200:$T$204,"&lt;1")</f>
        <v>0</v>
      </c>
      <c r="AB242" s="278"/>
      <c r="AC242" s="146">
        <f>COUNTIF($AC$193:$AC$197,"&lt;1")</f>
        <v>0</v>
      </c>
      <c r="AL242" s="146">
        <f>COUNTIF($AL$200:$AL$202,"&lt;1")</f>
        <v>0</v>
      </c>
      <c r="AO242" s="136"/>
      <c r="AP242" s="136"/>
      <c r="AQ242" s="136"/>
      <c r="AR242" s="136"/>
      <c r="AU242" s="146">
        <f>COUNTIF($AU$200:$AU$204,"26")</f>
        <v>0</v>
      </c>
    </row>
    <row r="243" spans="1:55" ht="12.75" hidden="1" customHeight="1">
      <c r="B243" s="146">
        <f>COUNTIF($B$207:$B$209,"&lt;1")</f>
        <v>0</v>
      </c>
      <c r="K243" s="146">
        <f>COUNTIF($K$205:$K$209,"&lt;1")</f>
        <v>0</v>
      </c>
      <c r="T243" s="146">
        <f>COUNTIF($T$205:$T$209,"&lt;1")</f>
        <v>0</v>
      </c>
      <c r="AB243" s="278"/>
      <c r="AC243" s="146">
        <f>COUNTIF($AC$200:$AC$209,"&lt;1")</f>
        <v>0</v>
      </c>
      <c r="AL243" s="146">
        <f>COUNTIF($AL$205:$AL$209,"&lt;1")</f>
        <v>0</v>
      </c>
      <c r="AO243" s="136"/>
      <c r="AP243" s="136"/>
      <c r="AQ243" s="136"/>
      <c r="AR243" s="136"/>
      <c r="AU243" s="146">
        <f>COUNTIF($AU$206:$AU$209,"26")</f>
        <v>0</v>
      </c>
    </row>
    <row r="244" spans="1:55" ht="12.75" hidden="1" customHeight="1">
      <c r="B244" s="148">
        <f>COUNTIF($B$170:$B$176,"&lt;1")</f>
        <v>0</v>
      </c>
      <c r="C244" s="73">
        <f>SUM(B244:B249)</f>
        <v>0</v>
      </c>
      <c r="K244" s="148">
        <f>COUNTIF($K$172:$K$176,"&lt;1")</f>
        <v>0</v>
      </c>
      <c r="T244" s="148">
        <f>COUNTIF($T$170:$T$176,"&lt;1")</f>
        <v>1</v>
      </c>
      <c r="AB244" s="278"/>
      <c r="AC244" s="148" t="e">
        <f>COUNTIF(#REF!,"&lt;1")</f>
        <v>#REF!</v>
      </c>
      <c r="AL244" s="148">
        <f>COUNTIF($AL$170:$AL$176,"&lt;1")</f>
        <v>0</v>
      </c>
      <c r="AO244" s="136"/>
      <c r="AP244" s="136"/>
      <c r="AQ244" s="136"/>
      <c r="AR244" s="136"/>
      <c r="AU244" s="148">
        <f>COUNTIF($AU$170:$AU$176,"&lt;1")</f>
        <v>1</v>
      </c>
    </row>
    <row r="245" spans="1:55" ht="12.75" hidden="1" customHeight="1">
      <c r="B245" s="148">
        <f>COUNTIF($B$179:$B$183,"&lt;1")</f>
        <v>0</v>
      </c>
      <c r="K245" s="148">
        <f>COUNTIF($K$179:$K$183,"&lt;1")</f>
        <v>0</v>
      </c>
      <c r="T245" s="148">
        <f>COUNTIF($T$179:$T$183,"&lt;1")</f>
        <v>0</v>
      </c>
      <c r="AB245" s="278"/>
      <c r="AC245" s="148">
        <f>COUNTIF($AC$172:$AC$176,"&lt;1")</f>
        <v>0</v>
      </c>
      <c r="AL245" s="148">
        <f>COUNTIF($AL$179:$AL$183,"&lt;1")</f>
        <v>0</v>
      </c>
      <c r="AO245" s="175"/>
      <c r="AP245" s="175"/>
      <c r="AQ245" s="175"/>
      <c r="AR245" s="175"/>
      <c r="AU245" s="148">
        <f>COUNTIF($AU$179:$AU$183,"&lt;1")</f>
        <v>0</v>
      </c>
    </row>
    <row r="246" spans="1:55" ht="12.75" hidden="1" customHeight="1">
      <c r="B246" s="148">
        <f>COUNTIF($B$186:$B$190,"&lt;1")</f>
        <v>0</v>
      </c>
      <c r="K246" s="148">
        <f>COUNTIF($K$186:$K$190,"&lt;1")</f>
        <v>0</v>
      </c>
      <c r="T246" s="148">
        <f>COUNTIF($T$186:$T$190,"&lt;1")</f>
        <v>0</v>
      </c>
      <c r="AB246" s="278"/>
      <c r="AC246" s="148">
        <f>COUNTIF($AC$179:$AC$183,"&lt;1")</f>
        <v>0</v>
      </c>
      <c r="AL246" s="148">
        <f>COUNTIF($AL$186:$AL$190,"&lt;1")</f>
        <v>0</v>
      </c>
      <c r="AO246" s="176"/>
      <c r="AP246" s="176"/>
      <c r="AQ246" s="176"/>
      <c r="AR246" s="176"/>
      <c r="AU246" s="148">
        <f>COUNTIF($AU$186:$AU$190,"&lt;1")</f>
        <v>0</v>
      </c>
    </row>
    <row r="247" spans="1:55" ht="12.75" hidden="1" customHeight="1">
      <c r="B247" s="148">
        <f>COUNTIF($B$193:$B$197,"&lt;1")</f>
        <v>0</v>
      </c>
      <c r="K247" s="148">
        <f>COUNTIF($K$193:$K$197,"&lt;1")</f>
        <v>0</v>
      </c>
      <c r="T247" s="148">
        <f>COUNTIF($T$193:$T$197,"&lt;1")</f>
        <v>0</v>
      </c>
      <c r="AB247" s="285"/>
      <c r="AC247" s="148">
        <f>COUNTIF($AC$186:$AC$190,"&lt;1")</f>
        <v>0</v>
      </c>
      <c r="AL247" s="148">
        <f>COUNTIF($AL$193:$AL$197,"&lt;1")</f>
        <v>0</v>
      </c>
      <c r="AO247" s="136"/>
      <c r="AP247" s="136"/>
      <c r="AQ247" s="136"/>
      <c r="AR247" s="136"/>
      <c r="AU247" s="148">
        <f>COUNTIF($AU$193:$AU$197,"&lt;1")</f>
        <v>0</v>
      </c>
    </row>
    <row r="248" spans="1:55" ht="12.75" hidden="1" customHeight="1">
      <c r="B248" s="148">
        <f>COUNTIF($B$200:$B$204,"&lt;1")</f>
        <v>0</v>
      </c>
      <c r="K248" s="148">
        <f>COUNTIF($K$200:$K$202,"&lt;1")</f>
        <v>0</v>
      </c>
      <c r="T248" s="148">
        <f>COUNTIF($T$200:$T$204,"&lt;1")</f>
        <v>0</v>
      </c>
      <c r="AB248" s="286"/>
      <c r="AC248" s="148">
        <f>COUNTIF($AC$193:$AC$197,"&lt;1")</f>
        <v>0</v>
      </c>
      <c r="AL248" s="148">
        <f>COUNTIF($AL$200:$AL$202,"&lt;1")</f>
        <v>0</v>
      </c>
      <c r="AO248" s="136"/>
      <c r="AP248" s="136"/>
      <c r="AQ248" s="136"/>
      <c r="AR248" s="136"/>
      <c r="AU248" s="148">
        <f>COUNTIF($AU$200:$AU$204,"&lt;1")</f>
        <v>0</v>
      </c>
    </row>
    <row r="249" spans="1:55" ht="12.75" hidden="1" customHeight="1">
      <c r="B249" s="148">
        <f>COUNTIF($B$207:$B$209,"&lt;1")</f>
        <v>0</v>
      </c>
      <c r="K249" s="148">
        <f>COUNTIF($K$205:$K$209,"&lt;1")</f>
        <v>0</v>
      </c>
      <c r="T249" s="148">
        <f>COUNTIF($T$205:$T$209,"&lt;1")</f>
        <v>0</v>
      </c>
      <c r="AB249" s="286"/>
      <c r="AC249" s="148">
        <f>COUNTIF($AC$200:$AC$209,"&lt;1")</f>
        <v>0</v>
      </c>
      <c r="AL249" s="148">
        <f>COUNTIF($AL$205:$AL$209,"&lt;1")</f>
        <v>0</v>
      </c>
      <c r="AO249" s="177"/>
      <c r="AP249" s="177"/>
      <c r="AQ249" s="177"/>
      <c r="AR249" s="177"/>
      <c r="AU249" s="148">
        <f>COUNTIF($AU$206:$AU$209,"&lt;1")</f>
        <v>0</v>
      </c>
    </row>
    <row r="250" spans="1:55" s="40" customFormat="1" ht="4.5" customHeight="1">
      <c r="A250" s="50"/>
      <c r="B250" s="74"/>
      <c r="C250" s="50"/>
      <c r="D250" s="50"/>
      <c r="E250" s="50"/>
      <c r="F250" s="50"/>
      <c r="G250" s="50"/>
      <c r="H250" s="50"/>
      <c r="I250" s="50"/>
      <c r="J250" s="50"/>
      <c r="K250" s="74"/>
      <c r="L250" s="50"/>
      <c r="M250" s="50"/>
      <c r="N250" s="50"/>
      <c r="O250" s="50"/>
      <c r="P250" s="50"/>
      <c r="Q250" s="50"/>
      <c r="R250" s="50"/>
      <c r="S250" s="50"/>
      <c r="T250" s="74"/>
      <c r="U250" s="202"/>
      <c r="V250" s="50"/>
      <c r="W250" s="50"/>
      <c r="X250" s="50"/>
      <c r="Y250" s="50"/>
      <c r="Z250" s="50"/>
      <c r="AA250" s="50"/>
      <c r="AB250" s="286"/>
      <c r="AC250" s="74"/>
      <c r="AD250" s="50"/>
      <c r="AE250" s="50"/>
      <c r="AF250" s="50"/>
      <c r="AG250" s="50"/>
      <c r="AH250" s="50"/>
      <c r="AI250" s="50"/>
      <c r="AJ250" s="50"/>
      <c r="AK250" s="50"/>
      <c r="AL250" s="74"/>
      <c r="AM250" s="50"/>
      <c r="AN250" s="50"/>
      <c r="AO250" s="21"/>
      <c r="AP250" s="21"/>
      <c r="AQ250" s="21"/>
      <c r="AR250" s="21"/>
      <c r="AS250" s="50"/>
      <c r="AT250" s="50"/>
      <c r="AU250" s="74"/>
      <c r="AV250" s="50"/>
      <c r="AW250" s="50"/>
      <c r="AX250" s="50"/>
      <c r="AY250" s="50"/>
      <c r="AZ250" s="50"/>
      <c r="BA250" s="50"/>
      <c r="BB250" s="50"/>
      <c r="BC250" s="50"/>
    </row>
    <row r="251" spans="1:55" s="128" customFormat="1" ht="15.75" hidden="1">
      <c r="A251" s="282" t="str">
        <f>CONCATENATE(B212,C213,B213,D213)</f>
        <v>22  pracovných dní / 176 hodín</v>
      </c>
      <c r="B251" s="283"/>
      <c r="C251" s="283"/>
      <c r="D251" s="284"/>
      <c r="E251" s="151"/>
      <c r="F251" s="151"/>
      <c r="G251" s="151"/>
      <c r="H251" s="151"/>
      <c r="J251" s="282" t="str">
        <f>CONCATENATE(K212,L213,K213,M213)</f>
        <v>20  pracovných dní / 160 hodín</v>
      </c>
      <c r="K251" s="283"/>
      <c r="L251" s="283"/>
      <c r="M251" s="284"/>
      <c r="N251" s="151"/>
      <c r="O251" s="151"/>
      <c r="P251" s="151"/>
      <c r="Q251" s="151"/>
      <c r="S251" s="282" t="str">
        <f>CONCATENATE(T212,U213,T213,V213)</f>
        <v>20  pracovných dní / 160 hodín</v>
      </c>
      <c r="T251" s="283"/>
      <c r="U251" s="283"/>
      <c r="V251" s="284"/>
      <c r="W251" s="151"/>
      <c r="X251" s="151"/>
      <c r="Y251" s="151"/>
      <c r="Z251" s="151"/>
      <c r="AA251" s="152"/>
      <c r="AB251" s="282" t="e">
        <f>CONCATENATE(AC212,AD213,AC213,AE213)</f>
        <v>#REF!</v>
      </c>
      <c r="AC251" s="283"/>
      <c r="AD251" s="283"/>
      <c r="AE251" s="284"/>
      <c r="AF251" s="151"/>
      <c r="AG251" s="151"/>
      <c r="AH251" s="151"/>
      <c r="AI251" s="151"/>
      <c r="AK251" s="282" t="str">
        <f>CONCATENATE(AL212,AM213,AL213,AN213)</f>
        <v>21  pracovných dní / 168 hodín</v>
      </c>
      <c r="AL251" s="283"/>
      <c r="AM251" s="283"/>
      <c r="AN251" s="284"/>
      <c r="AO251" s="151"/>
      <c r="AP251" s="151"/>
      <c r="AQ251" s="151"/>
      <c r="AR251" s="151"/>
      <c r="AT251" s="282" t="str">
        <f>CONCATENATE(AU212,AV213,AU213,AW213)</f>
        <v>21  pracovných dní / 168 hodín</v>
      </c>
      <c r="AU251" s="283"/>
      <c r="AV251" s="283"/>
      <c r="AW251" s="284"/>
      <c r="AX251" s="151"/>
      <c r="AY251" s="151"/>
      <c r="AZ251" s="151"/>
      <c r="BA251" s="151"/>
    </row>
    <row r="252" spans="1:55" hidden="1"/>
    <row r="253" spans="1:55" s="155" customFormat="1" ht="20.25" hidden="1">
      <c r="A253" s="279" t="str">
        <f>CONCATENATE(A213,C212,C213,D212,D213)</f>
        <v>III. KVARTÁL - 62  pracovných dní / 496 hodín</v>
      </c>
      <c r="B253" s="280"/>
      <c r="C253" s="280"/>
      <c r="D253" s="280"/>
      <c r="E253" s="280"/>
      <c r="F253" s="280"/>
      <c r="G253" s="280"/>
      <c r="H253" s="280"/>
      <c r="I253" s="280"/>
      <c r="J253" s="280"/>
      <c r="K253" s="280"/>
      <c r="L253" s="280"/>
      <c r="M253" s="280"/>
      <c r="N253" s="280"/>
      <c r="O253" s="280"/>
      <c r="P253" s="280"/>
      <c r="Q253" s="280"/>
      <c r="R253" s="280"/>
      <c r="S253" s="280"/>
      <c r="T253" s="280"/>
      <c r="U253" s="280"/>
      <c r="V253" s="281"/>
      <c r="W253" s="153"/>
      <c r="X253" s="153"/>
      <c r="Y253" s="153"/>
      <c r="Z253" s="153"/>
      <c r="AA253" s="154"/>
      <c r="AB253" s="279" t="e">
        <f>CONCATENATE(AB213,AD212,AD213,AE212,AE213)</f>
        <v>#REF!</v>
      </c>
      <c r="AC253" s="280"/>
      <c r="AD253" s="280"/>
      <c r="AE253" s="280"/>
      <c r="AF253" s="280"/>
      <c r="AG253" s="280"/>
      <c r="AH253" s="280"/>
      <c r="AI253" s="280"/>
      <c r="AJ253" s="280"/>
      <c r="AK253" s="280"/>
      <c r="AL253" s="280"/>
      <c r="AM253" s="280"/>
      <c r="AN253" s="280"/>
      <c r="AO253" s="280"/>
      <c r="AP253" s="280"/>
      <c r="AQ253" s="280"/>
      <c r="AR253" s="280"/>
      <c r="AS253" s="280"/>
      <c r="AT253" s="280"/>
      <c r="AU253" s="280"/>
      <c r="AV253" s="280"/>
      <c r="AW253" s="281"/>
      <c r="AX253" s="153"/>
      <c r="AY253" s="153"/>
      <c r="AZ253" s="153"/>
      <c r="BA253" s="153"/>
      <c r="BC253" s="178"/>
    </row>
    <row r="254" spans="1:55" hidden="1"/>
    <row r="255" spans="1:55" ht="14.25" hidden="1" customHeight="1">
      <c r="A255" s="179" t="s">
        <v>50</v>
      </c>
      <c r="B255" s="180"/>
      <c r="D255" s="181"/>
      <c r="E255" s="181"/>
      <c r="F255" s="181"/>
      <c r="G255" s="181"/>
      <c r="H255" s="181"/>
      <c r="I255" s="182"/>
      <c r="J255" s="182"/>
      <c r="K255" s="183"/>
      <c r="L255" s="184"/>
      <c r="M255" s="182"/>
      <c r="N255" s="182"/>
      <c r="O255" s="182"/>
      <c r="P255" s="182"/>
      <c r="Q255" s="182"/>
      <c r="R255" s="182"/>
      <c r="S255" s="182"/>
      <c r="T255" s="182"/>
      <c r="U255" s="205"/>
      <c r="V255" s="185"/>
      <c r="W255" s="185"/>
      <c r="X255" s="185"/>
      <c r="Y255" s="185"/>
      <c r="Z255" s="185"/>
      <c r="AB255" s="182"/>
      <c r="AC255" s="182"/>
      <c r="AD255" s="182"/>
      <c r="AE255" s="186"/>
      <c r="AF255" s="186"/>
      <c r="AG255" s="186"/>
      <c r="AH255" s="186"/>
      <c r="AI255" s="186"/>
      <c r="AJ255" s="182"/>
      <c r="AK255" s="182"/>
      <c r="AL255" s="182"/>
      <c r="AM255" s="182"/>
      <c r="AN255" s="182"/>
      <c r="AO255" s="182"/>
      <c r="AP255" s="182"/>
      <c r="AQ255" s="182"/>
      <c r="AR255" s="182"/>
      <c r="AS255" s="182"/>
      <c r="AT255" s="187" t="s">
        <v>51</v>
      </c>
    </row>
    <row r="256" spans="1:55" ht="15.75" hidden="1">
      <c r="A256" s="63"/>
      <c r="B256" s="65"/>
      <c r="C256" s="57"/>
      <c r="D256" s="64"/>
      <c r="E256" s="64"/>
      <c r="F256" s="64"/>
      <c r="G256" s="64"/>
      <c r="H256" s="64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V256" s="57"/>
      <c r="W256" s="57"/>
      <c r="X256" s="57"/>
      <c r="Y256" s="57"/>
      <c r="Z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T256" s="187" t="s">
        <v>52</v>
      </c>
    </row>
    <row r="257" spans="14:35" ht="64.5" customHeight="1">
      <c r="N257" s="234"/>
      <c r="O257" s="194" t="s">
        <v>53</v>
      </c>
      <c r="P257" s="244"/>
      <c r="Q257" s="9" t="s">
        <v>57</v>
      </c>
      <c r="S257" s="235"/>
      <c r="T257" s="9" t="s">
        <v>54</v>
      </c>
      <c r="V257" s="236"/>
      <c r="W257" s="9" t="s">
        <v>55</v>
      </c>
      <c r="X257" s="57"/>
      <c r="Y257" s="237"/>
      <c r="Z257" s="9" t="s">
        <v>56</v>
      </c>
      <c r="AB257" s="194"/>
      <c r="AD257" s="250"/>
      <c r="AE257" s="194" t="s">
        <v>58</v>
      </c>
      <c r="AI257" s="194"/>
    </row>
  </sheetData>
  <mergeCells count="132">
    <mergeCell ref="AW71:BA71"/>
    <mergeCell ref="AW169:BA169"/>
    <mergeCell ref="AT159:AW159"/>
    <mergeCell ref="AT107:AT113"/>
    <mergeCell ref="AK198:AK204"/>
    <mergeCell ref="AT198:AT204"/>
    <mergeCell ref="AK177:AK183"/>
    <mergeCell ref="AT177:AT183"/>
    <mergeCell ref="AK184:AK190"/>
    <mergeCell ref="AK86:AK92"/>
    <mergeCell ref="AT86:AT92"/>
    <mergeCell ref="AK93:AK99"/>
    <mergeCell ref="AT93:AT99"/>
    <mergeCell ref="AK100:AK106"/>
    <mergeCell ref="AT100:AT106"/>
    <mergeCell ref="AK107:AK113"/>
    <mergeCell ref="AK72:AK78"/>
    <mergeCell ref="AT72:AT78"/>
    <mergeCell ref="AK159:AN159"/>
    <mergeCell ref="A253:V253"/>
    <mergeCell ref="AB253:AW253"/>
    <mergeCell ref="AK205:AK211"/>
    <mergeCell ref="AT205:AT211"/>
    <mergeCell ref="A251:D251"/>
    <mergeCell ref="AN169:AR169"/>
    <mergeCell ref="J251:M251"/>
    <mergeCell ref="S251:V251"/>
    <mergeCell ref="AB251:AE251"/>
    <mergeCell ref="AK251:AN251"/>
    <mergeCell ref="AE169:AI169"/>
    <mergeCell ref="D169:H169"/>
    <mergeCell ref="M169:Q169"/>
    <mergeCell ref="AB234:AB240"/>
    <mergeCell ref="A198:A204"/>
    <mergeCell ref="J198:J204"/>
    <mergeCell ref="S198:S204"/>
    <mergeCell ref="AB198:AB204"/>
    <mergeCell ref="S191:S197"/>
    <mergeCell ref="AB191:AB197"/>
    <mergeCell ref="AT251:AW251"/>
    <mergeCell ref="A205:A211"/>
    <mergeCell ref="J205:J211"/>
    <mergeCell ref="S205:S211"/>
    <mergeCell ref="AB205:AB211"/>
    <mergeCell ref="AB241:AB247"/>
    <mergeCell ref="AB248:AB250"/>
    <mergeCell ref="AB213:AB219"/>
    <mergeCell ref="AB220:AB226"/>
    <mergeCell ref="AB227:AB233"/>
    <mergeCell ref="AT165:AW165"/>
    <mergeCell ref="A170:A176"/>
    <mergeCell ref="S170:S176"/>
    <mergeCell ref="AB170:AB176"/>
    <mergeCell ref="AK170:AK176"/>
    <mergeCell ref="AT170:AT176"/>
    <mergeCell ref="AT184:AT190"/>
    <mergeCell ref="AK191:AK197"/>
    <mergeCell ref="AT191:AT197"/>
    <mergeCell ref="A184:A190"/>
    <mergeCell ref="J184:J190"/>
    <mergeCell ref="S184:S190"/>
    <mergeCell ref="AB184:AB190"/>
    <mergeCell ref="A191:A197"/>
    <mergeCell ref="J191:J197"/>
    <mergeCell ref="AI165:AM165"/>
    <mergeCell ref="A165:D165"/>
    <mergeCell ref="A177:A183"/>
    <mergeCell ref="S107:S113"/>
    <mergeCell ref="AB107:AB113"/>
    <mergeCell ref="A107:A113"/>
    <mergeCell ref="J107:J113"/>
    <mergeCell ref="J177:J183"/>
    <mergeCell ref="S177:S183"/>
    <mergeCell ref="AB177:AB183"/>
    <mergeCell ref="V169:Z169"/>
    <mergeCell ref="A161:V161"/>
    <mergeCell ref="AB161:AW161"/>
    <mergeCell ref="A159:D159"/>
    <mergeCell ref="J159:M159"/>
    <mergeCell ref="S159:V159"/>
    <mergeCell ref="AB159:AE159"/>
    <mergeCell ref="A79:A85"/>
    <mergeCell ref="J79:J85"/>
    <mergeCell ref="S79:S85"/>
    <mergeCell ref="AB79:AB85"/>
    <mergeCell ref="AK79:AK85"/>
    <mergeCell ref="AT79:AT85"/>
    <mergeCell ref="A100:A106"/>
    <mergeCell ref="J100:J106"/>
    <mergeCell ref="V71:Z71"/>
    <mergeCell ref="AE71:AI71"/>
    <mergeCell ref="AN71:AR71"/>
    <mergeCell ref="S100:S106"/>
    <mergeCell ref="A93:A99"/>
    <mergeCell ref="J93:J99"/>
    <mergeCell ref="S93:S99"/>
    <mergeCell ref="AB93:AB99"/>
    <mergeCell ref="A86:A92"/>
    <mergeCell ref="J86:J92"/>
    <mergeCell ref="S86:S92"/>
    <mergeCell ref="AB86:AB92"/>
    <mergeCell ref="AB100:AB106"/>
    <mergeCell ref="S65:AB65"/>
    <mergeCell ref="D66:I66"/>
    <mergeCell ref="D67:I67"/>
    <mergeCell ref="A72:A78"/>
    <mergeCell ref="J72:J78"/>
    <mergeCell ref="S72:S78"/>
    <mergeCell ref="AB72:AB78"/>
    <mergeCell ref="A65:C65"/>
    <mergeCell ref="D71:H71"/>
    <mergeCell ref="M71:Q71"/>
    <mergeCell ref="A1:D1"/>
    <mergeCell ref="A3:AW3"/>
    <mergeCell ref="A19:B19"/>
    <mergeCell ref="B29:D29"/>
    <mergeCell ref="B30:I30"/>
    <mergeCell ref="A60:B60"/>
    <mergeCell ref="R60:V60"/>
    <mergeCell ref="A51:B51"/>
    <mergeCell ref="I51:K51"/>
    <mergeCell ref="V52:AB52"/>
    <mergeCell ref="A58:B58"/>
    <mergeCell ref="AK53:AM53"/>
    <mergeCell ref="AC36:AE36"/>
    <mergeCell ref="AC37:AE37"/>
    <mergeCell ref="AL37:AS37"/>
    <mergeCell ref="G1:AO1"/>
    <mergeCell ref="AL38:AS38"/>
    <mergeCell ref="T42:U42"/>
    <mergeCell ref="AL36:AS36"/>
    <mergeCell ref="V53:AB53"/>
  </mergeCells>
  <phoneticPr fontId="0" type="noConversion"/>
  <conditionalFormatting sqref="BF25:BF26 BF35:BF36 BF29:BF33">
    <cfRule type="cellIs" dxfId="51" priority="30" stopIfTrue="1" operator="notEqual">
      <formula>BB25=1</formula>
    </cfRule>
    <cfRule type="cellIs" dxfId="50" priority="31" stopIfTrue="1" operator="notEqual">
      <formula>BC25=2</formula>
    </cfRule>
    <cfRule type="cellIs" dxfId="49" priority="32" stopIfTrue="1" operator="notEqual">
      <formula>BD25=3</formula>
    </cfRule>
  </conditionalFormatting>
  <conditionalFormatting sqref="B177 B201 B205 B179 B181 B183 B185 B187 B189 B191 B193 B195 B197 B199 B203 K170:K205">
    <cfRule type="cellIs" dxfId="48" priority="33" stopIfTrue="1" operator="equal">
      <formula>29</formula>
    </cfRule>
  </conditionalFormatting>
  <conditionalFormatting sqref="V31:AS31">
    <cfRule type="cellIs" dxfId="47" priority="36" stopIfTrue="1" operator="equal">
      <formula>$A$64</formula>
    </cfRule>
  </conditionalFormatting>
  <conditionalFormatting sqref="K205:K210 K192:K193 K195:K198 K200:K202">
    <cfRule type="cellIs" dxfId="46" priority="39" stopIfTrue="1" operator="equal">
      <formula>29</formula>
    </cfRule>
  </conditionalFormatting>
  <conditionalFormatting sqref="J100">
    <cfRule type="expression" dxfId="45" priority="40" stopIfTrue="1">
      <formula>T10=7</formula>
    </cfRule>
  </conditionalFormatting>
  <conditionalFormatting sqref="AC72">
    <cfRule type="cellIs" dxfId="44" priority="41" stopIfTrue="1" operator="equal">
      <formula>$S$35</formula>
    </cfRule>
  </conditionalFormatting>
  <conditionalFormatting sqref="T112">
    <cfRule type="cellIs" dxfId="43" priority="44" stopIfTrue="1" operator="equal">
      <formula>$A$34+1</formula>
    </cfRule>
  </conditionalFormatting>
  <conditionalFormatting sqref="AL72">
    <cfRule type="cellIs" dxfId="42" priority="47" stopIfTrue="1" operator="equal">
      <formula>1</formula>
    </cfRule>
    <cfRule type="cellIs" dxfId="41" priority="48" stopIfTrue="1" operator="equal">
      <formula>8</formula>
    </cfRule>
  </conditionalFormatting>
  <conditionalFormatting sqref="AL111:AL112">
    <cfRule type="cellIs" dxfId="40" priority="49" stopIfTrue="1" operator="equal">
      <formula>1</formula>
    </cfRule>
    <cfRule type="cellIs" dxfId="39" priority="50" stopIfTrue="1" operator="equal">
      <formula>8</formula>
    </cfRule>
  </conditionalFormatting>
  <conditionalFormatting sqref="T170 T201:T208">
    <cfRule type="cellIs" dxfId="38" priority="51" stopIfTrue="1" operator="equal">
      <formula>1</formula>
    </cfRule>
    <cfRule type="cellIs" dxfId="37" priority="52" stopIfTrue="1" operator="equal">
      <formula>15</formula>
    </cfRule>
  </conditionalFormatting>
  <conditionalFormatting sqref="AL170:AL207">
    <cfRule type="cellIs" dxfId="36" priority="53" stopIfTrue="1" operator="equal">
      <formula>1</formula>
    </cfRule>
  </conditionalFormatting>
  <conditionalFormatting sqref="AL186 AL188 AL202:AL210">
    <cfRule type="cellIs" dxfId="35" priority="54" stopIfTrue="1" operator="equal">
      <formula>1</formula>
    </cfRule>
  </conditionalFormatting>
  <conditionalFormatting sqref="AL178 AU170:AU208">
    <cfRule type="cellIs" dxfId="34" priority="55" stopIfTrue="1" operator="equal">
      <formula>24</formula>
    </cfRule>
    <cfRule type="cellIs" dxfId="33" priority="56" stopIfTrue="1" operator="equal">
      <formula>25</formula>
    </cfRule>
    <cfRule type="cellIs" dxfId="32" priority="57" stopIfTrue="1" operator="equal">
      <formula>26</formula>
    </cfRule>
  </conditionalFormatting>
  <conditionalFormatting sqref="AU193:AU210">
    <cfRule type="cellIs" dxfId="31" priority="58" stopIfTrue="1" operator="equal">
      <formula>24</formula>
    </cfRule>
    <cfRule type="cellIs" dxfId="30" priority="59" stopIfTrue="1" operator="equal">
      <formula>25</formula>
    </cfRule>
    <cfRule type="cellIs" dxfId="29" priority="60" stopIfTrue="1" operator="equal">
      <formula>26</formula>
    </cfRule>
  </conditionalFormatting>
  <conditionalFormatting sqref="AL180:AL203">
    <cfRule type="cellIs" dxfId="28" priority="61" stopIfTrue="1" operator="equal">
      <formula>17</formula>
    </cfRule>
  </conditionalFormatting>
  <conditionalFormatting sqref="B194:B210">
    <cfRule type="cellIs" dxfId="27" priority="62" stopIfTrue="1" operator="equal">
      <formula>5</formula>
    </cfRule>
  </conditionalFormatting>
  <conditionalFormatting sqref="B170:B206 K178:K206 K176">
    <cfRule type="cellIs" dxfId="26" priority="63" stopIfTrue="1" operator="equal">
      <formula>5</formula>
    </cfRule>
  </conditionalFormatting>
  <conditionalFormatting sqref="AU199 AU192 AU185 AL199 AU113 K204 AC211 K202 B206 B178 B185 B192 AL211 AU211 AJ78 B211 AL204 K211 K206 K106 T211 B113 K113 T113 AC113 AL113 B72:B108 K183:K200 K179:K181 AL185 AL192 AL178 AL197">
    <cfRule type="cellIs" dxfId="25" priority="64" stopIfTrue="1" operator="equal">
      <formula>1</formula>
    </cfRule>
    <cfRule type="cellIs" dxfId="24" priority="65" stopIfTrue="1" operator="equal">
      <formula>6</formula>
    </cfRule>
  </conditionalFormatting>
  <conditionalFormatting sqref="B108:B112 B102:B106">
    <cfRule type="cellIs" dxfId="23" priority="66" stopIfTrue="1" operator="equal">
      <formula>1</formula>
    </cfRule>
    <cfRule type="cellIs" dxfId="22" priority="67" stopIfTrue="1" operator="equal">
      <formula>6</formula>
    </cfRule>
  </conditionalFormatting>
  <conditionalFormatting sqref="B174">
    <cfRule type="cellIs" dxfId="21" priority="22" stopIfTrue="1" operator="equal">
      <formula>29</formula>
    </cfRule>
  </conditionalFormatting>
  <conditionalFormatting sqref="B174">
    <cfRule type="cellIs" dxfId="20" priority="21" stopIfTrue="1" operator="equal">
      <formula>29</formula>
    </cfRule>
  </conditionalFormatting>
  <conditionalFormatting sqref="K99">
    <cfRule type="cellIs" dxfId="19" priority="19" stopIfTrue="1" operator="equal">
      <formula>1</formula>
    </cfRule>
    <cfRule type="cellIs" dxfId="18" priority="20" stopIfTrue="1" operator="equal">
      <formula>6</formula>
    </cfRule>
  </conditionalFormatting>
  <conditionalFormatting sqref="B180 B187 B194">
    <cfRule type="cellIs" dxfId="17" priority="17" stopIfTrue="1" operator="equal">
      <formula>1</formula>
    </cfRule>
    <cfRule type="cellIs" dxfId="16" priority="18" stopIfTrue="1" operator="equal">
      <formula>6</formula>
    </cfRule>
  </conditionalFormatting>
  <conditionalFormatting sqref="B176">
    <cfRule type="cellIs" dxfId="15" priority="16" stopIfTrue="1" operator="equal">
      <formula>29</formula>
    </cfRule>
  </conditionalFormatting>
  <conditionalFormatting sqref="B176">
    <cfRule type="cellIs" dxfId="14" priority="15" stopIfTrue="1" operator="equal">
      <formula>29</formula>
    </cfRule>
  </conditionalFormatting>
  <conditionalFormatting sqref="AL180">
    <cfRule type="cellIs" dxfId="13" priority="12" stopIfTrue="1" operator="equal">
      <formula>24</formula>
    </cfRule>
    <cfRule type="cellIs" dxfId="12" priority="13" stopIfTrue="1" operator="equal">
      <formula>25</formula>
    </cfRule>
    <cfRule type="cellIs" dxfId="11" priority="14" stopIfTrue="1" operator="equal">
      <formula>26</formula>
    </cfRule>
  </conditionalFormatting>
  <conditionalFormatting sqref="AL201 AL206 AL187 AL194 AL180 AL199">
    <cfRule type="cellIs" dxfId="10" priority="10" stopIfTrue="1" operator="equal">
      <formula>1</formula>
    </cfRule>
    <cfRule type="cellIs" dxfId="9" priority="11" stopIfTrue="1" operator="equal">
      <formula>6</formula>
    </cfRule>
  </conditionalFormatting>
  <conditionalFormatting sqref="AL179 AL181 AL195:AL200">
    <cfRule type="cellIs" dxfId="8" priority="9" stopIfTrue="1" operator="equal">
      <formula>1</formula>
    </cfRule>
  </conditionalFormatting>
  <conditionalFormatting sqref="AL171">
    <cfRule type="cellIs" dxfId="7" priority="6" stopIfTrue="1" operator="equal">
      <formula>24</formula>
    </cfRule>
    <cfRule type="cellIs" dxfId="6" priority="7" stopIfTrue="1" operator="equal">
      <formula>25</formula>
    </cfRule>
    <cfRule type="cellIs" dxfId="5" priority="8" stopIfTrue="1" operator="equal">
      <formula>26</formula>
    </cfRule>
  </conditionalFormatting>
  <conditionalFormatting sqref="AL173">
    <cfRule type="cellIs" dxfId="4" priority="3" stopIfTrue="1" operator="equal">
      <formula>24</formula>
    </cfRule>
    <cfRule type="cellIs" dxfId="3" priority="4" stopIfTrue="1" operator="equal">
      <formula>25</formula>
    </cfRule>
    <cfRule type="cellIs" dxfId="2" priority="5" stopIfTrue="1" operator="equal">
      <formula>26</formula>
    </cfRule>
  </conditionalFormatting>
  <conditionalFormatting sqref="AU201 AU194 AU187">
    <cfRule type="cellIs" dxfId="1" priority="1" stopIfTrue="1" operator="equal">
      <formula>1</formula>
    </cfRule>
    <cfRule type="cellIs" dxfId="0" priority="2" stopIfTrue="1" operator="equal">
      <formula>6</formula>
    </cfRule>
  </conditionalFormatting>
  <hyperlinks>
    <hyperlink ref="AT255" r:id="rId1"/>
    <hyperlink ref="AT256" r:id="rId2"/>
  </hyperlinks>
  <printOptions horizontalCentered="1"/>
  <pageMargins left="0.19685039370078741" right="0.19685039370078741" top="0.39370078740157483" bottom="0.39370078740157483" header="0.11811023622047245" footer="0.11811023622047245"/>
  <pageSetup paperSize="9" scale="41" orientation="portrait" r:id="rId3"/>
  <headerFooter alignWithMargins="0">
    <oddHeader>&amp;CFO14-GR/01.07.2010</oddHeader>
  </headerFooter>
  <rowBreaks count="1" manualBreakCount="1">
    <brk id="164" max="52" man="1"/>
  </rowBreaks>
  <colBreaks count="2" manualBreakCount="2">
    <brk id="53" max="90" man="1"/>
    <brk id="6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Kalendár</vt:lpstr>
      <vt:lpstr>Kalendár!Oblasť_tlače</vt:lpstr>
    </vt:vector>
  </TitlesOfParts>
  <Company>Brantner Fatra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Starosta</cp:lastModifiedBy>
  <cp:lastPrinted>2016-01-07T07:41:01Z</cp:lastPrinted>
  <dcterms:created xsi:type="dcterms:W3CDTF">2007-11-13T21:20:16Z</dcterms:created>
  <dcterms:modified xsi:type="dcterms:W3CDTF">2016-03-03T10:45:47Z</dcterms:modified>
</cp:coreProperties>
</file>